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pay" sheetId="1" r:id="rId1"/>
    <sheet name="yearly" sheetId="2" r:id="rId2"/>
    <sheet name="Rates" sheetId="3" r:id="rId3"/>
    <sheet name="old" sheetId="4" r:id="rId4"/>
    <sheet name="times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 xml:space="preserve">Commercial is sched block, company a/c is greater of sched or actual block
</t>
        </r>
      </text>
    </comment>
    <comment ref="I6" authorId="0">
      <text>
        <r>
          <rPr>
            <sz val="10"/>
            <rFont val="Arial"/>
            <family val="2"/>
          </rPr>
          <t xml:space="preserve">Other than long course student
</t>
        </r>
      </text>
    </comment>
    <comment ref="J6" authorId="0">
      <text>
        <r>
          <rPr>
            <sz val="10"/>
            <rFont val="Arial"/>
            <family val="2"/>
          </rPr>
          <t>Minimum of 2 hours of actual for no go, or turn  back or taxi only</t>
        </r>
      </text>
    </comment>
    <comment ref="E11" authorId="0">
      <text>
        <r>
          <rPr>
            <sz val="10"/>
            <rFont val="Arial"/>
            <family val="2"/>
          </rPr>
          <t>Min of 2?
Greater of block or scheduled</t>
        </r>
      </text>
    </comment>
    <comment ref="I12" authorId="0">
      <text>
        <r>
          <rPr>
            <sz val="10"/>
            <rFont val="Arial"/>
            <family val="2"/>
          </rPr>
          <t xml:space="preserve">Training days
</t>
        </r>
      </text>
    </comment>
    <comment ref="J12" authorId="0">
      <text>
        <r>
          <rPr>
            <sz val="10"/>
            <rFont val="Arial"/>
            <family val="2"/>
          </rPr>
          <t xml:space="preserve">Enter hours followed by a colon
Hh: or 123:33 </t>
        </r>
        <r>
          <rPr>
            <sz val="10"/>
            <color indexed="8"/>
            <rFont val="Arial"/>
            <family val="2"/>
          </rPr>
          <t xml:space="preserve">Include minutes if desired
</t>
        </r>
        <r>
          <rPr>
            <sz val="10"/>
            <rFont val="Arial"/>
            <family val="2"/>
          </rPr>
          <t xml:space="preserve">or 6 days, will convert to hours
Or enter report/release below
</t>
        </r>
      </text>
    </comment>
    <comment ref="B15" authorId="0">
      <text>
        <r>
          <rPr>
            <sz val="10"/>
            <rFont val="Arial"/>
            <family val="2"/>
          </rPr>
          <t xml:space="preserve">Greater of guarantee, CRT, the rest
</t>
        </r>
      </text>
    </comment>
    <comment ref="C19" authorId="0">
      <text>
        <r>
          <rPr>
            <sz val="10"/>
            <color indexed="8"/>
            <rFont val="Arial"/>
            <family val="2"/>
          </rPr>
          <t xml:space="preserve">Vol. Status only affects days 4 and on..use only one column, based on  day 4 and on status
</t>
        </r>
      </text>
    </comment>
    <comment ref="D19" authorId="0">
      <text>
        <r>
          <rPr>
            <sz val="10"/>
            <color indexed="8"/>
            <rFont val="Arial"/>
            <family val="2"/>
          </rPr>
          <t xml:space="preserve">Vol. Status only affects days 4 and on..use only one column, based on  day 4 and on status
</t>
        </r>
      </text>
    </comment>
    <comment ref="E19" authorId="0">
      <text>
        <r>
          <rPr>
            <sz val="10"/>
            <rFont val="Arial"/>
            <family val="2"/>
          </rPr>
          <t>Greater of block or scheduled</t>
        </r>
      </text>
    </comment>
    <comment ref="I20" authorId="0">
      <text>
        <r>
          <rPr>
            <sz val="10"/>
            <rFont val="Arial"/>
            <family val="2"/>
          </rPr>
          <t xml:space="preserve">Don't get CRT if on Days off?
</t>
        </r>
      </text>
    </comment>
    <comment ref="J20" authorId="0">
      <text>
        <r>
          <rPr>
            <sz val="10"/>
            <rFont val="Arial"/>
            <family val="2"/>
          </rPr>
          <t xml:space="preserve">Enter hours followed by a colon
Hh: or 123:33 </t>
        </r>
        <r>
          <rPr>
            <sz val="10"/>
            <color indexed="8"/>
            <rFont val="Arial"/>
            <family val="2"/>
          </rPr>
          <t xml:space="preserve">Include minutes if desired
</t>
        </r>
        <r>
          <rPr>
            <sz val="10"/>
            <rFont val="Arial"/>
            <family val="2"/>
          </rPr>
          <t xml:space="preserve">or 6 days, will convert to hours
</t>
        </r>
      </text>
    </comment>
    <comment ref="B23" authorId="0">
      <text>
        <r>
          <rPr>
            <sz val="10"/>
            <rFont val="Arial"/>
            <family val="2"/>
          </rPr>
          <t xml:space="preserve">Voluntary or involuntary daily amount plus greater of CRT or the rest
</t>
        </r>
      </text>
    </comment>
    <comment ref="C27" authorId="0">
      <text>
        <r>
          <rPr>
            <sz val="10"/>
            <color indexed="8"/>
            <rFont val="Arial"/>
            <family val="2"/>
          </rPr>
          <t>Enter hours followed by a colon
Hh: or 123:33 Include minutes if desired
or 6 days, will convert to hours</t>
        </r>
      </text>
    </comment>
    <comment ref="I27" authorId="0">
      <text>
        <r>
          <rPr>
            <sz val="10"/>
            <rFont val="Arial"/>
            <family val="2"/>
          </rPr>
          <t>Format of
12/31/2011 13:32</t>
        </r>
      </text>
    </comment>
    <comment ref="J27" authorId="0">
      <text>
        <r>
          <rPr>
            <sz val="10"/>
            <rFont val="Arial"/>
            <family val="2"/>
          </rPr>
          <t>Format of
12/31/2011 13:32</t>
        </r>
      </text>
    </comment>
  </commentList>
</comments>
</file>

<file path=xl/sharedStrings.xml><?xml version="1.0" encoding="utf-8"?>
<sst xmlns="http://schemas.openxmlformats.org/spreadsheetml/2006/main" count="372" uniqueCount="205">
  <si>
    <t>gatpay</t>
  </si>
  <si>
    <t>enter data only in purple blocks</t>
  </si>
  <si>
    <t>changes to gatlin@aol.com</t>
  </si>
  <si>
    <t>password is blank</t>
  </si>
  <si>
    <t>Hourly rate</t>
  </si>
  <si>
    <t>Daily rate</t>
  </si>
  <si>
    <t>Hourly Rate</t>
  </si>
  <si>
    <t>Per Diem</t>
  </si>
  <si>
    <t>DH</t>
  </si>
  <si>
    <t>R3</t>
  </si>
  <si>
    <t>CRT</t>
  </si>
  <si>
    <t>sick /vacation</t>
  </si>
  <si>
    <t>training</t>
  </si>
  <si>
    <t xml:space="preserve">no go </t>
  </si>
  <si>
    <t xml:space="preserve">  </t>
  </si>
  <si>
    <t xml:space="preserve"> </t>
  </si>
  <si>
    <t>Normal</t>
  </si>
  <si>
    <t>Guarantee</t>
  </si>
  <si>
    <t>flight time</t>
  </si>
  <si>
    <t>dh</t>
  </si>
  <si>
    <t>no go</t>
  </si>
  <si>
    <t>Day Off</t>
  </si>
  <si>
    <t>Involuntary</t>
  </si>
  <si>
    <t>Voluntary</t>
  </si>
  <si>
    <t>vacation/training</t>
  </si>
  <si>
    <t>sched T/O</t>
  </si>
  <si>
    <t>Per Diem Hours</t>
  </si>
  <si>
    <t>Report</t>
  </si>
  <si>
    <t>Per Diem Pay</t>
  </si>
  <si>
    <t>Release</t>
  </si>
  <si>
    <t>last leg block</t>
  </si>
  <si>
    <t>Totals</t>
  </si>
  <si>
    <t>Total</t>
  </si>
  <si>
    <t>duty time</t>
  </si>
  <si>
    <t>block out by</t>
  </si>
  <si>
    <t>x12</t>
  </si>
  <si>
    <t>must input time with a colon</t>
  </si>
  <si>
    <t>Info only.....sheet stolen from John Weiss</t>
  </si>
  <si>
    <t>ATLAS PAY 2012</t>
  </si>
  <si>
    <t>Pay rate 1</t>
  </si>
  <si>
    <t>(Jan-Sep credits)</t>
  </si>
  <si>
    <t>Pay rate 2</t>
  </si>
  <si>
    <t>(Oct-Dec credits)</t>
  </si>
  <si>
    <t>NAME</t>
  </si>
  <si>
    <t>Pay rate 3</t>
  </si>
  <si>
    <t>BOLD = Discrepancy outstanding</t>
  </si>
  <si>
    <t>Italics = Discrepancy corrected</t>
  </si>
  <si>
    <t>PAY</t>
  </si>
  <si>
    <t>BID MONTH (Previous Month)</t>
  </si>
  <si>
    <t>Actual vs Earned</t>
  </si>
  <si>
    <t>HOURS &amp; EARNINGS</t>
  </si>
  <si>
    <t>PRE-TAX ITEMS</t>
  </si>
  <si>
    <t>TAXES and DEDUCTIONS</t>
  </si>
  <si>
    <t>AFTER-TAX DEDUCTIONS</t>
  </si>
  <si>
    <t>SPECIAL INFORMATION</t>
  </si>
  <si>
    <t>TOTALS</t>
  </si>
  <si>
    <t>DATE</t>
  </si>
  <si>
    <t>HOURS / DAYS WORKED</t>
  </si>
  <si>
    <t>CREDIT HOURS</t>
  </si>
  <si>
    <t>CURRENT</t>
  </si>
  <si>
    <t>Y-T-D</t>
  </si>
  <si>
    <t>X-Day</t>
  </si>
  <si>
    <t xml:space="preserve">Home </t>
  </si>
  <si>
    <t>Vac/Trn/</t>
  </si>
  <si>
    <t>X</t>
  </si>
  <si>
    <t>Home</t>
  </si>
  <si>
    <t>TOTAL</t>
  </si>
  <si>
    <t>Adjusted</t>
  </si>
  <si>
    <t>Expected</t>
  </si>
  <si>
    <t xml:space="preserve">Expected </t>
  </si>
  <si>
    <t>Actual</t>
  </si>
  <si>
    <t>Y-T-D Hrs</t>
  </si>
  <si>
    <t>Y-T-D $</t>
  </si>
  <si>
    <t>Flex</t>
  </si>
  <si>
    <t>OT</t>
  </si>
  <si>
    <t xml:space="preserve">Other </t>
  </si>
  <si>
    <t>Gateway Taxable</t>
  </si>
  <si>
    <t>Cigna</t>
  </si>
  <si>
    <t>VSP</t>
  </si>
  <si>
    <t>Fed Income</t>
  </si>
  <si>
    <t>FICA</t>
  </si>
  <si>
    <t>Medicare</t>
  </si>
  <si>
    <t>AK</t>
  </si>
  <si>
    <t>Per Diem &amp; Uniform</t>
  </si>
  <si>
    <t>Hard</t>
  </si>
  <si>
    <t>Sim</t>
  </si>
  <si>
    <t>Hard/Sim</t>
  </si>
  <si>
    <t>Trng</t>
  </si>
  <si>
    <t>Sick</t>
  </si>
  <si>
    <t>TAFB</t>
  </si>
  <si>
    <t>Days</t>
  </si>
  <si>
    <t>Pay</t>
  </si>
  <si>
    <t>Rig</t>
  </si>
  <si>
    <t>Trng $</t>
  </si>
  <si>
    <t>HOURS</t>
  </si>
  <si>
    <t>Pay Hrs</t>
  </si>
  <si>
    <t>Hours</t>
  </si>
  <si>
    <t>Dollars</t>
  </si>
  <si>
    <t>Credit</t>
  </si>
  <si>
    <t>Earnings</t>
  </si>
  <si>
    <t>GTLI</t>
  </si>
  <si>
    <t>AIR</t>
  </si>
  <si>
    <t>HOTEL</t>
  </si>
  <si>
    <t>MISC</t>
  </si>
  <si>
    <t>Dental</t>
  </si>
  <si>
    <t>Med</t>
  </si>
  <si>
    <t>Medical</t>
  </si>
  <si>
    <t>401k</t>
  </si>
  <si>
    <t>Vision</t>
  </si>
  <si>
    <t>Tax</t>
  </si>
  <si>
    <t>SUI/SDI</t>
  </si>
  <si>
    <t>OTHER</t>
  </si>
  <si>
    <t>Union DC</t>
  </si>
  <si>
    <t>401k ER</t>
  </si>
  <si>
    <t>Taxed</t>
  </si>
  <si>
    <t>Not taxed</t>
  </si>
  <si>
    <t>Pre-Tax</t>
  </si>
  <si>
    <t>Tax &amp; Ded</t>
  </si>
  <si>
    <t>After-Tax</t>
  </si>
  <si>
    <t>NET PAY</t>
  </si>
  <si>
    <t>Taxes &amp; Ded</t>
  </si>
  <si>
    <t>DEC</t>
  </si>
  <si>
    <t>JAN</t>
  </si>
  <si>
    <t>PROFIT SHARING</t>
  </si>
  <si>
    <t>FEB</t>
  </si>
  <si>
    <t>PC</t>
  </si>
  <si>
    <t>MAR</t>
  </si>
  <si>
    <t>APR</t>
  </si>
  <si>
    <t>MAY</t>
  </si>
  <si>
    <t>Vac</t>
  </si>
  <si>
    <t>JUNE</t>
  </si>
  <si>
    <t>JULY</t>
  </si>
  <si>
    <t>AUG</t>
  </si>
  <si>
    <t>PT</t>
  </si>
  <si>
    <t>SEP</t>
  </si>
  <si>
    <t>OCT</t>
  </si>
  <si>
    <t>NOV</t>
  </si>
  <si>
    <t>(1/31)</t>
  </si>
  <si>
    <t>Jumbo</t>
  </si>
  <si>
    <t>Heavy 250-375kgs</t>
  </si>
  <si>
    <t>Medium125-250kgs</t>
  </si>
  <si>
    <t>Years</t>
  </si>
  <si>
    <t>CA</t>
  </si>
  <si>
    <t>FO</t>
  </si>
  <si>
    <t>first year of contract only</t>
  </si>
  <si>
    <t>Over 48</t>
  </si>
  <si>
    <t>Work Days</t>
  </si>
  <si>
    <t xml:space="preserve">Days  </t>
  </si>
  <si>
    <t>all</t>
  </si>
  <si>
    <t>1,2</t>
  </si>
  <si>
    <t>3,4</t>
  </si>
  <si>
    <t>7 and up</t>
  </si>
  <si>
    <t>voluntary</t>
  </si>
  <si>
    <t>involuntary, reassigned</t>
  </si>
  <si>
    <t xml:space="preserve">involuntary, not reassigned </t>
  </si>
  <si>
    <t>Reserve Crewmenber</t>
  </si>
  <si>
    <t>0%,  (don't put any days down)</t>
  </si>
  <si>
    <t>Line Holder</t>
  </si>
  <si>
    <t>Dailly Hours</t>
  </si>
  <si>
    <t>Amount per day</t>
  </si>
  <si>
    <t>Days Worked</t>
  </si>
  <si>
    <t>X Day Pay</t>
  </si>
  <si>
    <t>Per Diem Days</t>
  </si>
  <si>
    <t>Over 48, Days</t>
  </si>
  <si>
    <t>original T/O time</t>
  </si>
  <si>
    <t>Over 48, Hours</t>
  </si>
  <si>
    <t>report time</t>
  </si>
  <si>
    <t>16 hours</t>
  </si>
  <si>
    <t>Flight Hours</t>
  </si>
  <si>
    <t>minus 30</t>
  </si>
  <si>
    <t>Deadhead Hours</t>
  </si>
  <si>
    <t>20 hours</t>
  </si>
  <si>
    <t>Overtime</t>
  </si>
  <si>
    <t>X day hours</t>
  </si>
  <si>
    <t>minus block</t>
  </si>
  <si>
    <t>Total Pay hours</t>
  </si>
  <si>
    <t>latest block out 16</t>
  </si>
  <si>
    <t>Total X Days</t>
  </si>
  <si>
    <t>Total X day pay</t>
  </si>
  <si>
    <t>Hours Pay</t>
  </si>
  <si>
    <t xml:space="preserve">Total  </t>
  </si>
  <si>
    <t xml:space="preserve">Rate </t>
  </si>
  <si>
    <t>This Period</t>
  </si>
  <si>
    <t>Fed Income tax</t>
  </si>
  <si>
    <t>Regular Pay</t>
  </si>
  <si>
    <t>Above Guarantee</t>
  </si>
  <si>
    <t>dental</t>
  </si>
  <si>
    <t>Per Diem NT</t>
  </si>
  <si>
    <t>vision</t>
  </si>
  <si>
    <t>Uniform</t>
  </si>
  <si>
    <t>FSA health care</t>
  </si>
  <si>
    <t>Hotel TT</t>
  </si>
  <si>
    <t>401k pre-tax</t>
  </si>
  <si>
    <t>Air TT</t>
  </si>
  <si>
    <t>union dues</t>
  </si>
  <si>
    <t>Flex cr fam</t>
  </si>
  <si>
    <t>Gtli200</t>
  </si>
  <si>
    <t>6,75</t>
  </si>
  <si>
    <t>taxes withheld</t>
  </si>
  <si>
    <t>pretax deductions</t>
  </si>
  <si>
    <t>post ded</t>
  </si>
  <si>
    <t>Gross Pay</t>
  </si>
  <si>
    <t>net pay</t>
  </si>
  <si>
    <t>new and unchecked</t>
  </si>
  <si>
    <t>last leg block time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</si>
</sst>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\$#,##0.00"/>
    <numFmt numFmtId="166" formatCode="[$$-409]#,##0.00;[RED]\-[$$-409]#,##0.00"/>
    <numFmt numFmtId="167" formatCode="[H]:MM"/>
    <numFmt numFmtId="168" formatCode="H:MM"/>
    <numFmt numFmtId="169" formatCode="HH:MM"/>
    <numFmt numFmtId="170" formatCode="MM/DD/YYYY\ HH:MM"/>
    <numFmt numFmtId="171" formatCode="[HH]:MM"/>
    <numFmt numFmtId="172" formatCode="0.0"/>
    <numFmt numFmtId="173" formatCode="0.00"/>
    <numFmt numFmtId="174" formatCode="M/D"/>
    <numFmt numFmtId="175" formatCode="0"/>
    <numFmt numFmtId="176" formatCode="\$#,##0.00_);[RED]&quot;($&quot;#,##0.00\)"/>
    <numFmt numFmtId="177" formatCode="#,##0.00_);[RED]\(#,##0.00\)"/>
    <numFmt numFmtId="178" formatCode="0%"/>
    <numFmt numFmtId="179" formatCode="#,##0.00"/>
    <numFmt numFmtId="180" formatCode="0.00%"/>
  </numFmts>
  <fonts count="1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0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0" fillId="2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/>
    </xf>
    <xf numFmtId="164" fontId="0" fillId="0" borderId="0" xfId="0" applyBorder="1" applyAlignment="1" applyProtection="1">
      <alignment horizontal="center" vertical="center" wrapText="1"/>
      <protection/>
    </xf>
    <xf numFmtId="164" fontId="0" fillId="3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0" fillId="3" borderId="1" xfId="0" applyFont="1" applyFill="1" applyBorder="1" applyAlignment="1" applyProtection="1">
      <alignment horizontal="center" vertical="center" wrapText="1"/>
      <protection/>
    </xf>
    <xf numFmtId="164" fontId="0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 applyProtection="1">
      <alignment horizontal="center" vertical="center" wrapText="1"/>
      <protection/>
    </xf>
    <xf numFmtId="165" fontId="0" fillId="2" borderId="0" xfId="0" applyNumberFormat="1" applyFill="1" applyBorder="1" applyAlignment="1" applyProtection="1">
      <alignment horizontal="center" vertical="center" wrapText="1"/>
      <protection locked="0"/>
    </xf>
    <xf numFmtId="164" fontId="0" fillId="3" borderId="0" xfId="0" applyFont="1" applyFill="1" applyBorder="1" applyAlignment="1">
      <alignment horizontal="center" vertical="center" wrapText="1"/>
    </xf>
    <xf numFmtId="166" fontId="0" fillId="3" borderId="0" xfId="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2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3" borderId="2" xfId="0" applyFont="1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2" borderId="0" xfId="0" applyFill="1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 horizontal="center" vertical="center" wrapText="1"/>
      <protection locked="0"/>
    </xf>
    <xf numFmtId="167" fontId="0" fillId="2" borderId="6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0" fillId="3" borderId="0" xfId="0" applyFill="1" applyBorder="1" applyAlignment="1" applyProtection="1">
      <alignment horizontal="center" vertical="center" wrapText="1"/>
      <protection locked="0"/>
    </xf>
    <xf numFmtId="164" fontId="0" fillId="3" borderId="0" xfId="0" applyFill="1" applyBorder="1" applyAlignment="1" applyProtection="1">
      <alignment horizontal="center" vertical="center" wrapText="1"/>
      <protection/>
    </xf>
    <xf numFmtId="167" fontId="0" fillId="0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Fill="1" applyBorder="1" applyAlignment="1" applyProtection="1">
      <alignment horizontal="center"/>
      <protection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 applyProtection="1">
      <alignment horizontal="center" vertical="center" wrapText="1"/>
      <protection/>
    </xf>
    <xf numFmtId="166" fontId="0" fillId="3" borderId="7" xfId="0" applyNumberForma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166" fontId="0" fillId="0" borderId="9" xfId="0" applyNumberFormat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2" borderId="12" xfId="0" applyFill="1" applyBorder="1" applyAlignment="1" applyProtection="1">
      <alignment horizontal="center"/>
      <protection locked="0"/>
    </xf>
    <xf numFmtId="164" fontId="0" fillId="2" borderId="13" xfId="0" applyFill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" borderId="1" xfId="0" applyNumberForma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 wrapText="1"/>
      <protection/>
    </xf>
    <xf numFmtId="164" fontId="4" fillId="3" borderId="0" xfId="0" applyNumberFormat="1" applyFont="1" applyFill="1" applyBorder="1" applyAlignment="1" applyProtection="1">
      <alignment horizontal="center" vertical="center" wrapText="1"/>
      <protection/>
    </xf>
    <xf numFmtId="166" fontId="0" fillId="0" borderId="6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horizontal="center" vertical="center" wrapText="1"/>
      <protection/>
    </xf>
    <xf numFmtId="168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>
      <alignment horizontal="right"/>
    </xf>
    <xf numFmtId="167" fontId="0" fillId="2" borderId="0" xfId="0" applyNumberFormat="1" applyFont="1" applyFill="1" applyBorder="1" applyAlignment="1" applyProtection="1">
      <alignment horizontal="right"/>
      <protection locked="0"/>
    </xf>
    <xf numFmtId="169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6" xfId="0" applyNumberFormat="1" applyFill="1" applyBorder="1" applyAlignment="1" applyProtection="1">
      <alignment horizontal="center" vertical="center" wrapText="1"/>
      <protection/>
    </xf>
    <xf numFmtId="170" fontId="0" fillId="3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right"/>
    </xf>
    <xf numFmtId="164" fontId="0" fillId="0" borderId="1" xfId="0" applyFont="1" applyBorder="1" applyAlignment="1">
      <alignment horizontal="center"/>
    </xf>
    <xf numFmtId="170" fontId="0" fillId="3" borderId="1" xfId="0" applyNumberFormat="1" applyFill="1" applyBorder="1" applyAlignment="1" applyProtection="1">
      <alignment horizontal="center"/>
      <protection locked="0"/>
    </xf>
    <xf numFmtId="170" fontId="0" fillId="0" borderId="1" xfId="0" applyNumberForma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 vertical="center"/>
      <protection/>
    </xf>
    <xf numFmtId="171" fontId="0" fillId="3" borderId="0" xfId="0" applyNumberForma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4" fontId="0" fillId="0" borderId="0" xfId="0" applyFont="1" applyFill="1" applyBorder="1" applyAlignment="1" applyProtection="1">
      <alignment horizontal="center" vertical="center"/>
      <protection/>
    </xf>
    <xf numFmtId="168" fontId="0" fillId="0" borderId="6" xfId="0" applyNumberFormat="1" applyFill="1" applyBorder="1" applyAlignment="1" applyProtection="1">
      <alignment horizontal="center" vertical="center" wrapText="1"/>
      <protection locked="0"/>
    </xf>
    <xf numFmtId="171" fontId="0" fillId="0" borderId="7" xfId="0" applyNumberFormat="1" applyBorder="1" applyAlignment="1">
      <alignment horizontal="center"/>
    </xf>
    <xf numFmtId="164" fontId="2" fillId="4" borderId="0" xfId="0" applyFont="1" applyFill="1" applyBorder="1" applyAlignment="1">
      <alignment horizontal="right" vertical="center" wrapText="1"/>
    </xf>
    <xf numFmtId="166" fontId="2" fillId="4" borderId="0" xfId="0" applyNumberFormat="1" applyFont="1" applyFill="1" applyBorder="1" applyAlignment="1">
      <alignment horizontal="right" vertical="center" wrapText="1"/>
    </xf>
    <xf numFmtId="168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169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vertical="center" wrapText="1"/>
    </xf>
    <xf numFmtId="164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74" fontId="6" fillId="0" borderId="0" xfId="0" applyNumberFormat="1" applyFont="1" applyBorder="1" applyAlignment="1">
      <alignment horizontal="left"/>
    </xf>
    <xf numFmtId="173" fontId="0" fillId="0" borderId="0" xfId="0" applyNumberForma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3" fontId="2" fillId="0" borderId="0" xfId="0" applyNumberFormat="1" applyFont="1" applyAlignment="1">
      <alignment/>
    </xf>
    <xf numFmtId="17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177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right"/>
    </xf>
    <xf numFmtId="174" fontId="2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64" fontId="7" fillId="0" borderId="0" xfId="0" applyFont="1" applyBorder="1" applyAlignment="1">
      <alignment/>
    </xf>
    <xf numFmtId="164" fontId="2" fillId="0" borderId="18" xfId="0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left"/>
    </xf>
    <xf numFmtId="173" fontId="2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3" fontId="2" fillId="0" borderId="23" xfId="0" applyNumberFormat="1" applyFont="1" applyBorder="1" applyAlignment="1">
      <alignment horizontal="center"/>
    </xf>
    <xf numFmtId="173" fontId="2" fillId="0" borderId="24" xfId="0" applyNumberFormat="1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74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173" fontId="0" fillId="0" borderId="22" xfId="0" applyNumberFormat="1" applyFont="1" applyBorder="1" applyAlignment="1">
      <alignment horizontal="center"/>
    </xf>
    <xf numFmtId="173" fontId="0" fillId="0" borderId="28" xfId="0" applyNumberFormat="1" applyFont="1" applyBorder="1" applyAlignment="1">
      <alignment horizontal="center"/>
    </xf>
    <xf numFmtId="173" fontId="8" fillId="0" borderId="28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2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173" fontId="8" fillId="0" borderId="2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73" fontId="8" fillId="0" borderId="24" xfId="0" applyNumberFormat="1" applyFont="1" applyBorder="1" applyAlignment="1">
      <alignment horizontal="center"/>
    </xf>
    <xf numFmtId="173" fontId="0" fillId="0" borderId="23" xfId="0" applyNumberFormat="1" applyFont="1" applyBorder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2" fillId="0" borderId="1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74" fontId="0" fillId="0" borderId="2" xfId="0" applyNumberFormat="1" applyBorder="1" applyAlignment="1">
      <alignment horizontal="center"/>
    </xf>
    <xf numFmtId="173" fontId="0" fillId="0" borderId="32" xfId="0" applyNumberFormat="1" applyFont="1" applyBorder="1" applyAlignment="1">
      <alignment horizontal="center"/>
    </xf>
    <xf numFmtId="173" fontId="0" fillId="0" borderId="33" xfId="0" applyNumberFormat="1" applyFont="1" applyBorder="1" applyAlignment="1">
      <alignment horizontal="center"/>
    </xf>
    <xf numFmtId="173" fontId="0" fillId="0" borderId="34" xfId="0" applyNumberFormat="1" applyFont="1" applyBorder="1" applyAlignment="1">
      <alignment horizontal="center"/>
    </xf>
    <xf numFmtId="173" fontId="10" fillId="0" borderId="34" xfId="0" applyNumberFormat="1" applyFont="1" applyBorder="1" applyAlignment="1">
      <alignment horizontal="center"/>
    </xf>
    <xf numFmtId="173" fontId="5" fillId="0" borderId="34" xfId="0" applyNumberFormat="1" applyFont="1" applyBorder="1" applyAlignment="1">
      <alignment horizontal="center"/>
    </xf>
    <xf numFmtId="172" fontId="0" fillId="0" borderId="32" xfId="0" applyNumberFormat="1" applyFont="1" applyBorder="1" applyAlignment="1">
      <alignment horizontal="center"/>
    </xf>
    <xf numFmtId="173" fontId="0" fillId="0" borderId="35" xfId="0" applyNumberFormat="1" applyFont="1" applyBorder="1" applyAlignment="1">
      <alignment horizontal="center"/>
    </xf>
    <xf numFmtId="173" fontId="8" fillId="0" borderId="33" xfId="0" applyNumberFormat="1" applyFont="1" applyBorder="1" applyAlignment="1">
      <alignment horizontal="center"/>
    </xf>
    <xf numFmtId="173" fontId="9" fillId="0" borderId="34" xfId="0" applyNumberFormat="1" applyFont="1" applyBorder="1" applyAlignment="1">
      <alignment horizontal="center"/>
    </xf>
    <xf numFmtId="175" fontId="9" fillId="0" borderId="36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 horizontal="center"/>
    </xf>
    <xf numFmtId="173" fontId="0" fillId="0" borderId="36" xfId="0" applyNumberFormat="1" applyFont="1" applyBorder="1" applyAlignment="1">
      <alignment horizontal="center"/>
    </xf>
    <xf numFmtId="173" fontId="8" fillId="0" borderId="37" xfId="0" applyNumberFormat="1" applyFont="1" applyBorder="1" applyAlignment="1">
      <alignment horizontal="center"/>
    </xf>
    <xf numFmtId="173" fontId="8" fillId="0" borderId="3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73" fontId="8" fillId="0" borderId="34" xfId="0" applyNumberFormat="1" applyFont="1" applyBorder="1" applyAlignment="1">
      <alignment horizontal="center"/>
    </xf>
    <xf numFmtId="173" fontId="0" fillId="0" borderId="37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center"/>
    </xf>
    <xf numFmtId="176" fontId="0" fillId="0" borderId="34" xfId="0" applyNumberFormat="1" applyFont="1" applyBorder="1" applyAlignment="1">
      <alignment horizontal="center"/>
    </xf>
    <xf numFmtId="176" fontId="0" fillId="0" borderId="37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11" fillId="0" borderId="36" xfId="0" applyFont="1" applyBorder="1" applyAlignment="1">
      <alignment horizontal="center"/>
    </xf>
    <xf numFmtId="177" fontId="0" fillId="0" borderId="33" xfId="0" applyNumberFormat="1" applyFont="1" applyBorder="1" applyAlignment="1">
      <alignment horizontal="center"/>
    </xf>
    <xf numFmtId="177" fontId="0" fillId="0" borderId="34" xfId="0" applyNumberFormat="1" applyFont="1" applyBorder="1" applyAlignment="1">
      <alignment horizontal="center"/>
    </xf>
    <xf numFmtId="177" fontId="2" fillId="0" borderId="41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173" fontId="2" fillId="0" borderId="28" xfId="0" applyNumberFormat="1" applyFont="1" applyBorder="1" applyAlignment="1">
      <alignment horizontal="right"/>
    </xf>
    <xf numFmtId="173" fontId="0" fillId="0" borderId="30" xfId="0" applyNumberFormat="1" applyBorder="1" applyAlignment="1">
      <alignment horizontal="right"/>
    </xf>
    <xf numFmtId="173" fontId="0" fillId="0" borderId="24" xfId="0" applyNumberFormat="1" applyBorder="1" applyAlignment="1">
      <alignment horizontal="right"/>
    </xf>
    <xf numFmtId="173" fontId="5" fillId="0" borderId="24" xfId="0" applyNumberFormat="1" applyFont="1" applyBorder="1" applyAlignment="1">
      <alignment horizontal="right"/>
    </xf>
    <xf numFmtId="172" fontId="5" fillId="0" borderId="28" xfId="0" applyNumberFormat="1" applyFon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173" fontId="5" fillId="0" borderId="30" xfId="0" applyNumberFormat="1" applyFont="1" applyBorder="1" applyAlignment="1">
      <alignment horizontal="right"/>
    </xf>
    <xf numFmtId="173" fontId="5" fillId="0" borderId="30" xfId="0" applyNumberFormat="1" applyFont="1" applyBorder="1" applyAlignment="1">
      <alignment horizontal="center"/>
    </xf>
    <xf numFmtId="173" fontId="12" fillId="0" borderId="24" xfId="0" applyNumberFormat="1" applyFont="1" applyBorder="1" applyAlignment="1">
      <alignment horizontal="right"/>
    </xf>
    <xf numFmtId="175" fontId="12" fillId="0" borderId="29" xfId="0" applyNumberFormat="1" applyFont="1" applyBorder="1" applyAlignment="1">
      <alignment horizontal="center"/>
    </xf>
    <xf numFmtId="175" fontId="5" fillId="0" borderId="24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73" fontId="0" fillId="0" borderId="29" xfId="0" applyNumberFormat="1" applyBorder="1" applyAlignment="1">
      <alignment horizontal="right"/>
    </xf>
    <xf numFmtId="173" fontId="0" fillId="0" borderId="28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73" fontId="0" fillId="0" borderId="24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73" fontId="0" fillId="0" borderId="24" xfId="0" applyNumberFormat="1" applyBorder="1" applyAlignment="1">
      <alignment horizontal="center"/>
    </xf>
    <xf numFmtId="176" fontId="0" fillId="0" borderId="30" xfId="0" applyNumberForma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Font="1" applyBorder="1" applyAlignment="1">
      <alignment/>
    </xf>
    <xf numFmtId="173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3" fontId="0" fillId="0" borderId="28" xfId="0" applyNumberFormat="1" applyFon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0" xfId="0" applyNumberFormat="1" applyFont="1" applyAlignment="1">
      <alignment/>
    </xf>
    <xf numFmtId="173" fontId="0" fillId="0" borderId="2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6" xfId="0" applyNumberFormat="1" applyBorder="1" applyAlignment="1">
      <alignment/>
    </xf>
    <xf numFmtId="176" fontId="12" fillId="0" borderId="2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176" fontId="13" fillId="0" borderId="28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3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2" fillId="0" borderId="25" xfId="0" applyNumberFormat="1" applyFon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13" xfId="0" applyNumberFormat="1" applyBorder="1" applyAlignment="1">
      <alignment/>
    </xf>
    <xf numFmtId="173" fontId="0" fillId="0" borderId="28" xfId="0" applyNumberFormat="1" applyBorder="1" applyAlignment="1">
      <alignment horizontal="right"/>
    </xf>
    <xf numFmtId="172" fontId="0" fillId="0" borderId="28" xfId="0" applyNumberFormat="1" applyBorder="1" applyAlignment="1">
      <alignment horizontal="right"/>
    </xf>
    <xf numFmtId="173" fontId="0" fillId="0" borderId="30" xfId="0" applyNumberFormat="1" applyBorder="1" applyAlignment="1">
      <alignment horizontal="center"/>
    </xf>
    <xf numFmtId="175" fontId="5" fillId="0" borderId="24" xfId="0" applyNumberFormat="1" applyFont="1" applyBorder="1" applyAlignment="1">
      <alignment horizontal="center"/>
    </xf>
    <xf numFmtId="165" fontId="0" fillId="0" borderId="24" xfId="0" applyNumberFormat="1" applyBorder="1" applyAlignment="1">
      <alignment horizontal="right"/>
    </xf>
    <xf numFmtId="176" fontId="7" fillId="0" borderId="22" xfId="0" applyNumberFormat="1" applyFont="1" applyBorder="1" applyAlignment="1">
      <alignment/>
    </xf>
    <xf numFmtId="175" fontId="5" fillId="0" borderId="29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right"/>
    </xf>
    <xf numFmtId="173" fontId="3" fillId="0" borderId="30" xfId="0" applyNumberFormat="1" applyFont="1" applyBorder="1" applyAlignment="1">
      <alignment horizontal="right"/>
    </xf>
    <xf numFmtId="173" fontId="3" fillId="0" borderId="30" xfId="0" applyNumberFormat="1" applyFont="1" applyBorder="1" applyAlignment="1">
      <alignment horizontal="center"/>
    </xf>
    <xf numFmtId="175" fontId="3" fillId="0" borderId="29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/>
    </xf>
    <xf numFmtId="174" fontId="2" fillId="4" borderId="0" xfId="0" applyNumberFormat="1" applyFont="1" applyFill="1" applyAlignment="1">
      <alignment horizontal="center"/>
    </xf>
    <xf numFmtId="173" fontId="0" fillId="4" borderId="28" xfId="0" applyNumberFormat="1" applyFill="1" applyBorder="1" applyAlignment="1">
      <alignment horizontal="right"/>
    </xf>
    <xf numFmtId="173" fontId="2" fillId="4" borderId="28" xfId="0" applyNumberFormat="1" applyFont="1" applyFill="1" applyBorder="1" applyAlignment="1">
      <alignment horizontal="center"/>
    </xf>
    <xf numFmtId="173" fontId="2" fillId="4" borderId="0" xfId="0" applyNumberFormat="1" applyFont="1" applyFill="1" applyBorder="1" applyAlignment="1">
      <alignment horizontal="center"/>
    </xf>
    <xf numFmtId="173" fontId="5" fillId="4" borderId="0" xfId="0" applyNumberFormat="1" applyFont="1" applyFill="1" applyBorder="1" applyAlignment="1">
      <alignment horizontal="center"/>
    </xf>
    <xf numFmtId="172" fontId="2" fillId="4" borderId="28" xfId="0" applyNumberFormat="1" applyFont="1" applyFill="1" applyBorder="1" applyAlignment="1">
      <alignment horizontal="center"/>
    </xf>
    <xf numFmtId="173" fontId="0" fillId="4" borderId="22" xfId="0" applyNumberFormat="1" applyFill="1" applyBorder="1" applyAlignment="1">
      <alignment horizontal="right"/>
    </xf>
    <xf numFmtId="173" fontId="2" fillId="4" borderId="30" xfId="0" applyNumberFormat="1" applyFont="1" applyFill="1" applyBorder="1" applyAlignment="1">
      <alignment horizontal="center"/>
    </xf>
    <xf numFmtId="173" fontId="12" fillId="4" borderId="24" xfId="0" applyNumberFormat="1" applyFont="1" applyFill="1" applyBorder="1" applyAlignment="1">
      <alignment horizontal="center"/>
    </xf>
    <xf numFmtId="175" fontId="3" fillId="4" borderId="29" xfId="0" applyNumberFormat="1" applyFont="1" applyFill="1" applyBorder="1" applyAlignment="1">
      <alignment horizontal="center"/>
    </xf>
    <xf numFmtId="173" fontId="2" fillId="4" borderId="24" xfId="0" applyNumberFormat="1" applyFont="1" applyFill="1" applyBorder="1" applyAlignment="1">
      <alignment horizontal="center"/>
    </xf>
    <xf numFmtId="173" fontId="5" fillId="4" borderId="24" xfId="0" applyNumberFormat="1" applyFont="1" applyFill="1" applyBorder="1" applyAlignment="1">
      <alignment horizontal="center"/>
    </xf>
    <xf numFmtId="173" fontId="0" fillId="4" borderId="29" xfId="0" applyNumberFormat="1" applyFill="1" applyBorder="1" applyAlignment="1">
      <alignment horizontal="right"/>
    </xf>
    <xf numFmtId="173" fontId="0" fillId="4" borderId="23" xfId="0" applyNumberFormat="1" applyFill="1" applyBorder="1" applyAlignment="1">
      <alignment horizontal="center"/>
    </xf>
    <xf numFmtId="173" fontId="0" fillId="4" borderId="28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right"/>
    </xf>
    <xf numFmtId="173" fontId="0" fillId="4" borderId="24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73" fontId="0" fillId="4" borderId="24" xfId="0" applyNumberFormat="1" applyFill="1" applyBorder="1" applyAlignment="1">
      <alignment horizontal="center"/>
    </xf>
    <xf numFmtId="176" fontId="0" fillId="4" borderId="30" xfId="0" applyNumberFormat="1" applyFill="1" applyBorder="1" applyAlignment="1">
      <alignment horizontal="right"/>
    </xf>
    <xf numFmtId="176" fontId="0" fillId="4" borderId="24" xfId="0" applyNumberFormat="1" applyFont="1" applyFill="1" applyBorder="1" applyAlignment="1">
      <alignment horizontal="right"/>
    </xf>
    <xf numFmtId="176" fontId="0" fillId="4" borderId="23" xfId="0" applyNumberFormat="1" applyFill="1" applyBorder="1" applyAlignment="1">
      <alignment horizontal="right"/>
    </xf>
    <xf numFmtId="176" fontId="0" fillId="4" borderId="24" xfId="0" applyNumberFormat="1" applyFill="1" applyBorder="1" applyAlignment="1">
      <alignment horizontal="right"/>
    </xf>
    <xf numFmtId="176" fontId="0" fillId="4" borderId="5" xfId="0" applyNumberFormat="1" applyFont="1" applyFill="1" applyBorder="1" applyAlignment="1">
      <alignment/>
    </xf>
    <xf numFmtId="173" fontId="0" fillId="4" borderId="28" xfId="0" applyNumberFormat="1" applyFill="1" applyBorder="1" applyAlignment="1">
      <alignment/>
    </xf>
    <xf numFmtId="164" fontId="0" fillId="4" borderId="29" xfId="0" applyFill="1" applyBorder="1" applyAlignment="1">
      <alignment/>
    </xf>
    <xf numFmtId="173" fontId="0" fillId="4" borderId="28" xfId="0" applyNumberFormat="1" applyFont="1" applyFill="1" applyBorder="1" applyAlignment="1">
      <alignment/>
    </xf>
    <xf numFmtId="176" fontId="0" fillId="4" borderId="29" xfId="0" applyNumberFormat="1" applyFont="1" applyFill="1" applyBorder="1" applyAlignment="1">
      <alignment/>
    </xf>
    <xf numFmtId="176" fontId="0" fillId="4" borderId="29" xfId="0" applyNumberFormat="1" applyFill="1" applyBorder="1" applyAlignment="1">
      <alignment/>
    </xf>
    <xf numFmtId="176" fontId="0" fillId="4" borderId="22" xfId="0" applyNumberFormat="1" applyFill="1" applyBorder="1" applyAlignment="1">
      <alignment/>
    </xf>
    <xf numFmtId="176" fontId="0" fillId="4" borderId="28" xfId="0" applyNumberFormat="1" applyFill="1" applyBorder="1" applyAlignment="1">
      <alignment/>
    </xf>
    <xf numFmtId="176" fontId="0" fillId="4" borderId="27" xfId="0" applyNumberFormat="1" applyFill="1" applyBorder="1" applyAlignment="1">
      <alignment/>
    </xf>
    <xf numFmtId="176" fontId="0" fillId="4" borderId="0" xfId="0" applyNumberFormat="1" applyFont="1" applyFill="1" applyAlignment="1">
      <alignment/>
    </xf>
    <xf numFmtId="173" fontId="0" fillId="4" borderId="23" xfId="0" applyNumberFormat="1" applyFill="1" applyBorder="1" applyAlignment="1">
      <alignment/>
    </xf>
    <xf numFmtId="176" fontId="0" fillId="4" borderId="0" xfId="0" applyNumberFormat="1" applyFill="1" applyBorder="1" applyAlignment="1">
      <alignment/>
    </xf>
    <xf numFmtId="176" fontId="0" fillId="4" borderId="30" xfId="0" applyNumberFormat="1" applyFill="1" applyBorder="1" applyAlignment="1">
      <alignment/>
    </xf>
    <xf numFmtId="176" fontId="0" fillId="4" borderId="24" xfId="0" applyNumberFormat="1" applyFont="1" applyFill="1" applyBorder="1" applyAlignment="1">
      <alignment/>
    </xf>
    <xf numFmtId="176" fontId="0" fillId="4" borderId="30" xfId="0" applyNumberFormat="1" applyFont="1" applyFill="1" applyBorder="1" applyAlignment="1">
      <alignment/>
    </xf>
    <xf numFmtId="176" fontId="0" fillId="4" borderId="28" xfId="0" applyNumberFormat="1" applyFont="1" applyFill="1" applyBorder="1" applyAlignment="1">
      <alignment/>
    </xf>
    <xf numFmtId="176" fontId="11" fillId="4" borderId="30" xfId="0" applyNumberFormat="1" applyFont="1" applyFill="1" applyBorder="1" applyAlignment="1">
      <alignment/>
    </xf>
    <xf numFmtId="176" fontId="0" fillId="4" borderId="26" xfId="0" applyNumberFormat="1" applyFill="1" applyBorder="1" applyAlignment="1">
      <alignment/>
    </xf>
    <xf numFmtId="176" fontId="12" fillId="4" borderId="29" xfId="0" applyNumberFormat="1" applyFont="1" applyFill="1" applyBorder="1" applyAlignment="1">
      <alignment/>
    </xf>
    <xf numFmtId="176" fontId="0" fillId="4" borderId="0" xfId="0" applyNumberFormat="1" applyFont="1" applyFill="1" applyBorder="1" applyAlignment="1">
      <alignment/>
    </xf>
    <xf numFmtId="176" fontId="11" fillId="4" borderId="29" xfId="0" applyNumberFormat="1" applyFont="1" applyFill="1" applyBorder="1" applyAlignment="1">
      <alignment/>
    </xf>
    <xf numFmtId="176" fontId="13" fillId="4" borderId="28" xfId="0" applyNumberFormat="1" applyFont="1" applyFill="1" applyBorder="1" applyAlignment="1">
      <alignment/>
    </xf>
    <xf numFmtId="176" fontId="3" fillId="4" borderId="0" xfId="0" applyNumberFormat="1" applyFont="1" applyFill="1" applyBorder="1" applyAlignment="1">
      <alignment/>
    </xf>
    <xf numFmtId="173" fontId="0" fillId="4" borderId="22" xfId="0" applyNumberFormat="1" applyFill="1" applyBorder="1" applyAlignment="1">
      <alignment/>
    </xf>
    <xf numFmtId="176" fontId="0" fillId="4" borderId="24" xfId="0" applyNumberFormat="1" applyFill="1" applyBorder="1" applyAlignment="1">
      <alignment/>
    </xf>
    <xf numFmtId="176" fontId="2" fillId="4" borderId="25" xfId="0" applyNumberFormat="1" applyFont="1" applyFill="1" applyBorder="1" applyAlignment="1">
      <alignment/>
    </xf>
    <xf numFmtId="173" fontId="0" fillId="4" borderId="0" xfId="0" applyNumberFormat="1" applyFill="1" applyBorder="1" applyAlignment="1">
      <alignment/>
    </xf>
    <xf numFmtId="176" fontId="0" fillId="4" borderId="23" xfId="0" applyNumberFormat="1" applyFill="1" applyBorder="1" applyAlignment="1">
      <alignment/>
    </xf>
    <xf numFmtId="176" fontId="0" fillId="4" borderId="13" xfId="0" applyNumberFormat="1" applyFill="1" applyBorder="1" applyAlignment="1">
      <alignment/>
    </xf>
    <xf numFmtId="173" fontId="14" fillId="0" borderId="30" xfId="0" applyNumberFormat="1" applyFont="1" applyBorder="1" applyAlignment="1">
      <alignment horizontal="right"/>
    </xf>
    <xf numFmtId="173" fontId="2" fillId="0" borderId="30" xfId="0" applyNumberFormat="1" applyFont="1" applyBorder="1" applyAlignment="1">
      <alignment horizontal="center"/>
    </xf>
    <xf numFmtId="173" fontId="15" fillId="0" borderId="24" xfId="0" applyNumberFormat="1" applyFont="1" applyBorder="1" applyAlignment="1">
      <alignment horizontal="right"/>
    </xf>
    <xf numFmtId="173" fontId="14" fillId="0" borderId="0" xfId="0" applyNumberFormat="1" applyFont="1" applyBorder="1" applyAlignment="1">
      <alignment horizontal="right"/>
    </xf>
    <xf numFmtId="173" fontId="14" fillId="0" borderId="24" xfId="0" applyNumberFormat="1" applyFont="1" applyBorder="1" applyAlignment="1">
      <alignment horizontal="right"/>
    </xf>
    <xf numFmtId="173" fontId="10" fillId="0" borderId="24" xfId="0" applyNumberFormat="1" applyFont="1" applyBorder="1" applyAlignment="1">
      <alignment horizontal="right"/>
    </xf>
    <xf numFmtId="175" fontId="10" fillId="0" borderId="24" xfId="0" applyNumberFormat="1" applyFont="1" applyBorder="1" applyAlignment="1">
      <alignment horizontal="center"/>
    </xf>
    <xf numFmtId="165" fontId="14" fillId="0" borderId="24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/>
    </xf>
    <xf numFmtId="164" fontId="0" fillId="0" borderId="30" xfId="0" applyBorder="1" applyAlignment="1">
      <alignment/>
    </xf>
    <xf numFmtId="164" fontId="12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/>
    </xf>
    <xf numFmtId="173" fontId="0" fillId="0" borderId="30" xfId="0" applyNumberFormat="1" applyBorder="1" applyAlignment="1">
      <alignment horizontal="left"/>
    </xf>
    <xf numFmtId="173" fontId="12" fillId="0" borderId="24" xfId="0" applyNumberFormat="1" applyFont="1" applyBorder="1" applyAlignment="1">
      <alignment horizontal="left"/>
    </xf>
    <xf numFmtId="173" fontId="0" fillId="0" borderId="24" xfId="0" applyNumberFormat="1" applyFon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0" borderId="23" xfId="0" applyNumberFormat="1" applyFont="1" applyBorder="1" applyAlignment="1">
      <alignment horizontal="right"/>
    </xf>
    <xf numFmtId="173" fontId="12" fillId="0" borderId="24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73" fontId="3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right"/>
    </xf>
    <xf numFmtId="173" fontId="2" fillId="0" borderId="24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 horizontal="right"/>
    </xf>
    <xf numFmtId="173" fontId="16" fillId="0" borderId="30" xfId="0" applyNumberFormat="1" applyFont="1" applyBorder="1" applyAlignment="1">
      <alignment horizontal="right"/>
    </xf>
    <xf numFmtId="173" fontId="16" fillId="0" borderId="30" xfId="0" applyNumberFormat="1" applyFont="1" applyBorder="1" applyAlignment="1">
      <alignment horizontal="center"/>
    </xf>
    <xf numFmtId="173" fontId="17" fillId="0" borderId="24" xfId="0" applyNumberFormat="1" applyFont="1" applyBorder="1" applyAlignment="1">
      <alignment horizontal="right"/>
    </xf>
    <xf numFmtId="173" fontId="16" fillId="0" borderId="0" xfId="0" applyNumberFormat="1" applyFont="1" applyBorder="1" applyAlignment="1">
      <alignment horizontal="right"/>
    </xf>
    <xf numFmtId="173" fontId="16" fillId="0" borderId="24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 horizontal="right"/>
    </xf>
    <xf numFmtId="175" fontId="9" fillId="0" borderId="24" xfId="0" applyNumberFormat="1" applyFont="1" applyBorder="1" applyAlignment="1">
      <alignment horizontal="center"/>
    </xf>
    <xf numFmtId="165" fontId="16" fillId="0" borderId="24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/>
    </xf>
    <xf numFmtId="164" fontId="0" fillId="0" borderId="43" xfId="0" applyBorder="1" applyAlignment="1">
      <alignment/>
    </xf>
    <xf numFmtId="174" fontId="2" fillId="4" borderId="44" xfId="0" applyNumberFormat="1" applyFont="1" applyFill="1" applyBorder="1" applyAlignment="1">
      <alignment horizontal="center"/>
    </xf>
    <xf numFmtId="173" fontId="2" fillId="4" borderId="43" xfId="0" applyNumberFormat="1" applyFont="1" applyFill="1" applyBorder="1" applyAlignment="1">
      <alignment horizontal="right"/>
    </xf>
    <xf numFmtId="173" fontId="0" fillId="4" borderId="43" xfId="0" applyNumberFormat="1" applyFill="1" applyBorder="1" applyAlignment="1">
      <alignment horizontal="right"/>
    </xf>
    <xf numFmtId="173" fontId="5" fillId="4" borderId="43" xfId="0" applyNumberFormat="1" applyFont="1" applyFill="1" applyBorder="1" applyAlignment="1">
      <alignment horizontal="right"/>
    </xf>
    <xf numFmtId="172" fontId="2" fillId="4" borderId="44" xfId="0" applyNumberFormat="1" applyFont="1" applyFill="1" applyBorder="1" applyAlignment="1">
      <alignment horizontal="center"/>
    </xf>
    <xf numFmtId="173" fontId="0" fillId="4" borderId="45" xfId="0" applyNumberFormat="1" applyFill="1" applyBorder="1" applyAlignment="1">
      <alignment horizontal="right"/>
    </xf>
    <xf numFmtId="173" fontId="2" fillId="4" borderId="43" xfId="0" applyNumberFormat="1" applyFont="1" applyFill="1" applyBorder="1" applyAlignment="1">
      <alignment horizontal="center"/>
    </xf>
    <xf numFmtId="173" fontId="5" fillId="4" borderId="46" xfId="0" applyNumberFormat="1" applyFont="1" applyFill="1" applyBorder="1" applyAlignment="1">
      <alignment horizontal="right"/>
    </xf>
    <xf numFmtId="175" fontId="5" fillId="4" borderId="47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center"/>
    </xf>
    <xf numFmtId="173" fontId="5" fillId="4" borderId="43" xfId="0" applyNumberFormat="1" applyFont="1" applyFill="1" applyBorder="1" applyAlignment="1">
      <alignment horizontal="center"/>
    </xf>
    <xf numFmtId="175" fontId="5" fillId="4" borderId="43" xfId="0" applyNumberFormat="1" applyFont="1" applyFill="1" applyBorder="1" applyAlignment="1">
      <alignment horizontal="center"/>
    </xf>
    <xf numFmtId="165" fontId="2" fillId="4" borderId="46" xfId="0" applyNumberFormat="1" applyFont="1" applyFill="1" applyBorder="1" applyAlignment="1">
      <alignment horizontal="center"/>
    </xf>
    <xf numFmtId="173" fontId="0" fillId="4" borderId="47" xfId="0" applyNumberFormat="1" applyFill="1" applyBorder="1" applyAlignment="1">
      <alignment horizontal="right"/>
    </xf>
    <xf numFmtId="173" fontId="0" fillId="4" borderId="44" xfId="0" applyNumberFormat="1" applyFill="1" applyBorder="1" applyAlignment="1">
      <alignment horizontal="center"/>
    </xf>
    <xf numFmtId="173" fontId="0" fillId="4" borderId="43" xfId="0" applyNumberFormat="1" applyFill="1" applyBorder="1" applyAlignment="1">
      <alignment horizontal="center"/>
    </xf>
    <xf numFmtId="165" fontId="0" fillId="4" borderId="48" xfId="0" applyNumberFormat="1" applyFill="1" applyBorder="1" applyAlignment="1">
      <alignment horizontal="right"/>
    </xf>
    <xf numFmtId="173" fontId="0" fillId="4" borderId="43" xfId="0" applyNumberFormat="1" applyFont="1" applyFill="1" applyBorder="1" applyAlignment="1">
      <alignment horizontal="right"/>
    </xf>
    <xf numFmtId="165" fontId="0" fillId="4" borderId="45" xfId="0" applyNumberFormat="1" applyFont="1" applyFill="1" applyBorder="1" applyAlignment="1">
      <alignment horizontal="right"/>
    </xf>
    <xf numFmtId="173" fontId="0" fillId="4" borderId="47" xfId="0" applyNumberFormat="1" applyFill="1" applyBorder="1" applyAlignment="1">
      <alignment horizontal="center"/>
    </xf>
    <xf numFmtId="176" fontId="0" fillId="4" borderId="43" xfId="0" applyNumberFormat="1" applyFill="1" applyBorder="1" applyAlignment="1">
      <alignment horizontal="right"/>
    </xf>
    <xf numFmtId="176" fontId="0" fillId="4" borderId="47" xfId="0" applyNumberFormat="1" applyFont="1" applyFill="1" applyBorder="1" applyAlignment="1">
      <alignment horizontal="right"/>
    </xf>
    <xf numFmtId="176" fontId="0" fillId="4" borderId="44" xfId="0" applyNumberFormat="1" applyFill="1" applyBorder="1" applyAlignment="1">
      <alignment horizontal="right"/>
    </xf>
    <xf numFmtId="176" fontId="0" fillId="4" borderId="49" xfId="0" applyNumberFormat="1" applyFill="1" applyBorder="1" applyAlignment="1">
      <alignment horizontal="right"/>
    </xf>
    <xf numFmtId="176" fontId="0" fillId="4" borderId="45" xfId="0" applyNumberFormat="1" applyFont="1" applyFill="1" applyBorder="1" applyAlignment="1">
      <alignment/>
    </xf>
    <xf numFmtId="173" fontId="0" fillId="4" borderId="44" xfId="0" applyNumberFormat="1" applyFill="1" applyBorder="1" applyAlignment="1">
      <alignment/>
    </xf>
    <xf numFmtId="176" fontId="0" fillId="4" borderId="47" xfId="0" applyNumberFormat="1" applyFill="1" applyBorder="1" applyAlignment="1">
      <alignment/>
    </xf>
    <xf numFmtId="173" fontId="0" fillId="4" borderId="44" xfId="0" applyNumberFormat="1" applyFont="1" applyFill="1" applyBorder="1" applyAlignment="1">
      <alignment/>
    </xf>
    <xf numFmtId="176" fontId="0" fillId="4" borderId="45" xfId="0" applyNumberFormat="1" applyFill="1" applyBorder="1" applyAlignment="1">
      <alignment/>
    </xf>
    <xf numFmtId="176" fontId="0" fillId="4" borderId="44" xfId="0" applyNumberFormat="1" applyFill="1" applyBorder="1" applyAlignment="1">
      <alignment/>
    </xf>
    <xf numFmtId="176" fontId="0" fillId="4" borderId="43" xfId="0" applyNumberFormat="1" applyFill="1" applyBorder="1" applyAlignment="1">
      <alignment/>
    </xf>
    <xf numFmtId="176" fontId="0" fillId="4" borderId="49" xfId="0" applyNumberFormat="1" applyFill="1" applyBorder="1" applyAlignment="1">
      <alignment/>
    </xf>
    <xf numFmtId="176" fontId="0" fillId="4" borderId="50" xfId="0" applyNumberFormat="1" applyFont="1" applyFill="1" applyBorder="1" applyAlignment="1">
      <alignment/>
    </xf>
    <xf numFmtId="176" fontId="0" fillId="4" borderId="44" xfId="0" applyNumberFormat="1" applyFont="1" applyFill="1" applyBorder="1" applyAlignment="1">
      <alignment/>
    </xf>
    <xf numFmtId="176" fontId="0" fillId="4" borderId="43" xfId="0" applyNumberFormat="1" applyFont="1" applyFill="1" applyBorder="1" applyAlignment="1">
      <alignment/>
    </xf>
    <xf numFmtId="176" fontId="11" fillId="4" borderId="43" xfId="0" applyNumberFormat="1" applyFont="1" applyFill="1" applyBorder="1" applyAlignment="1">
      <alignment/>
    </xf>
    <xf numFmtId="176" fontId="0" fillId="4" borderId="49" xfId="0" applyNumberFormat="1" applyFont="1" applyFill="1" applyBorder="1" applyAlignment="1">
      <alignment/>
    </xf>
    <xf numFmtId="176" fontId="3" fillId="4" borderId="47" xfId="0" applyNumberFormat="1" applyFont="1" applyFill="1" applyBorder="1" applyAlignment="1">
      <alignment/>
    </xf>
    <xf numFmtId="176" fontId="11" fillId="4" borderId="47" xfId="0" applyNumberFormat="1" applyFont="1" applyFill="1" applyBorder="1" applyAlignment="1">
      <alignment/>
    </xf>
    <xf numFmtId="176" fontId="13" fillId="4" borderId="44" xfId="0" applyNumberFormat="1" applyFont="1" applyFill="1" applyBorder="1" applyAlignment="1">
      <alignment/>
    </xf>
    <xf numFmtId="176" fontId="3" fillId="4" borderId="43" xfId="0" applyNumberFormat="1" applyFont="1" applyFill="1" applyBorder="1" applyAlignment="1">
      <alignment/>
    </xf>
    <xf numFmtId="176" fontId="0" fillId="4" borderId="47" xfId="0" applyNumberFormat="1" applyFont="1" applyFill="1" applyBorder="1" applyAlignment="1">
      <alignment/>
    </xf>
    <xf numFmtId="173" fontId="0" fillId="4" borderId="45" xfId="0" applyNumberFormat="1" applyFill="1" applyBorder="1" applyAlignment="1">
      <alignment/>
    </xf>
    <xf numFmtId="176" fontId="2" fillId="4" borderId="51" xfId="0" applyNumberFormat="1" applyFont="1" applyFill="1" applyBorder="1" applyAlignment="1">
      <alignment/>
    </xf>
    <xf numFmtId="164" fontId="0" fillId="0" borderId="44" xfId="0" applyBorder="1" applyAlignment="1">
      <alignment/>
    </xf>
    <xf numFmtId="164" fontId="0" fillId="0" borderId="43" xfId="0" applyFill="1" applyBorder="1" applyAlignment="1">
      <alignment/>
    </xf>
    <xf numFmtId="172" fontId="0" fillId="4" borderId="44" xfId="0" applyNumberFormat="1" applyFill="1" applyBorder="1" applyAlignment="1">
      <alignment horizontal="center"/>
    </xf>
    <xf numFmtId="173" fontId="0" fillId="4" borderId="44" xfId="0" applyNumberFormat="1" applyFill="1" applyBorder="1" applyAlignment="1">
      <alignment horizontal="right"/>
    </xf>
    <xf numFmtId="165" fontId="0" fillId="4" borderId="46" xfId="0" applyNumberFormat="1" applyFill="1" applyBorder="1" applyAlignment="1">
      <alignment horizontal="right"/>
    </xf>
    <xf numFmtId="176" fontId="2" fillId="4" borderId="45" xfId="0" applyNumberFormat="1" applyFont="1" applyFill="1" applyBorder="1" applyAlignment="1">
      <alignment/>
    </xf>
    <xf numFmtId="164" fontId="0" fillId="0" borderId="44" xfId="0" applyFill="1" applyBorder="1" applyAlignment="1">
      <alignment/>
    </xf>
    <xf numFmtId="164" fontId="3" fillId="0" borderId="43" xfId="0" applyFont="1" applyBorder="1" applyAlignment="1">
      <alignment/>
    </xf>
    <xf numFmtId="174" fontId="12" fillId="4" borderId="44" xfId="0" applyNumberFormat="1" applyFont="1" applyFill="1" applyBorder="1" applyAlignment="1">
      <alignment horizontal="center"/>
    </xf>
    <xf numFmtId="173" fontId="12" fillId="4" borderId="43" xfId="0" applyNumberFormat="1" applyFont="1" applyFill="1" applyBorder="1" applyAlignment="1">
      <alignment horizontal="right"/>
    </xf>
    <xf numFmtId="173" fontId="0" fillId="4" borderId="43" xfId="0" applyNumberFormat="1" applyFill="1" applyBorder="1" applyAlignment="1">
      <alignment horizontal="left"/>
    </xf>
    <xf numFmtId="173" fontId="3" fillId="4" borderId="43" xfId="0" applyNumberFormat="1" applyFont="1" applyFill="1" applyBorder="1" applyAlignment="1">
      <alignment horizontal="right"/>
    </xf>
    <xf numFmtId="172" fontId="12" fillId="4" borderId="44" xfId="0" applyNumberFormat="1" applyFont="1" applyFill="1" applyBorder="1" applyAlignment="1">
      <alignment horizontal="center"/>
    </xf>
    <xf numFmtId="173" fontId="3" fillId="4" borderId="45" xfId="0" applyNumberFormat="1" applyFont="1" applyFill="1" applyBorder="1" applyAlignment="1">
      <alignment horizontal="right"/>
    </xf>
    <xf numFmtId="173" fontId="12" fillId="4" borderId="43" xfId="0" applyNumberFormat="1" applyFont="1" applyFill="1" applyBorder="1" applyAlignment="1">
      <alignment horizontal="center"/>
    </xf>
    <xf numFmtId="173" fontId="12" fillId="4" borderId="44" xfId="0" applyNumberFormat="1" applyFont="1" applyFill="1" applyBorder="1" applyAlignment="1">
      <alignment horizontal="right"/>
    </xf>
    <xf numFmtId="165" fontId="12" fillId="4" borderId="46" xfId="0" applyNumberFormat="1" applyFont="1" applyFill="1" applyBorder="1" applyAlignment="1">
      <alignment horizontal="right"/>
    </xf>
    <xf numFmtId="173" fontId="3" fillId="4" borderId="47" xfId="0" applyNumberFormat="1" applyFont="1" applyFill="1" applyBorder="1" applyAlignment="1">
      <alignment horizontal="right"/>
    </xf>
    <xf numFmtId="173" fontId="3" fillId="4" borderId="44" xfId="0" applyNumberFormat="1" applyFont="1" applyFill="1" applyBorder="1" applyAlignment="1">
      <alignment horizontal="center"/>
    </xf>
    <xf numFmtId="173" fontId="3" fillId="4" borderId="43" xfId="0" applyNumberFormat="1" applyFont="1" applyFill="1" applyBorder="1" applyAlignment="1">
      <alignment horizontal="center"/>
    </xf>
    <xf numFmtId="165" fontId="3" fillId="4" borderId="45" xfId="0" applyNumberFormat="1" applyFont="1" applyFill="1" applyBorder="1" applyAlignment="1">
      <alignment horizontal="right"/>
    </xf>
    <xf numFmtId="173" fontId="3" fillId="4" borderId="47" xfId="0" applyNumberFormat="1" applyFont="1" applyFill="1" applyBorder="1" applyAlignment="1">
      <alignment horizontal="center"/>
    </xf>
    <xf numFmtId="176" fontId="3" fillId="4" borderId="43" xfId="0" applyNumberFormat="1" applyFont="1" applyFill="1" applyBorder="1" applyAlignment="1">
      <alignment horizontal="right"/>
    </xf>
    <xf numFmtId="176" fontId="3" fillId="4" borderId="47" xfId="0" applyNumberFormat="1" applyFont="1" applyFill="1" applyBorder="1" applyAlignment="1">
      <alignment horizontal="right"/>
    </xf>
    <xf numFmtId="176" fontId="3" fillId="4" borderId="44" xfId="0" applyNumberFormat="1" applyFont="1" applyFill="1" applyBorder="1" applyAlignment="1">
      <alignment horizontal="right"/>
    </xf>
    <xf numFmtId="176" fontId="3" fillId="4" borderId="49" xfId="0" applyNumberFormat="1" applyFont="1" applyFill="1" applyBorder="1" applyAlignment="1">
      <alignment horizontal="right"/>
    </xf>
    <xf numFmtId="176" fontId="12" fillId="4" borderId="45" xfId="0" applyNumberFormat="1" applyFont="1" applyFill="1" applyBorder="1" applyAlignment="1">
      <alignment/>
    </xf>
    <xf numFmtId="173" fontId="3" fillId="4" borderId="44" xfId="0" applyNumberFormat="1" applyFont="1" applyFill="1" applyBorder="1" applyAlignment="1">
      <alignment/>
    </xf>
    <xf numFmtId="176" fontId="3" fillId="4" borderId="45" xfId="0" applyNumberFormat="1" applyFont="1" applyFill="1" applyBorder="1" applyAlignment="1">
      <alignment/>
    </xf>
    <xf numFmtId="176" fontId="3" fillId="4" borderId="44" xfId="0" applyNumberFormat="1" applyFont="1" applyFill="1" applyBorder="1" applyAlignment="1">
      <alignment/>
    </xf>
    <xf numFmtId="176" fontId="3" fillId="4" borderId="49" xfId="0" applyNumberFormat="1" applyFont="1" applyFill="1" applyBorder="1" applyAlignment="1">
      <alignment/>
    </xf>
    <xf numFmtId="176" fontId="3" fillId="4" borderId="50" xfId="0" applyNumberFormat="1" applyFont="1" applyFill="1" applyBorder="1" applyAlignment="1">
      <alignment/>
    </xf>
    <xf numFmtId="173" fontId="3" fillId="4" borderId="45" xfId="0" applyNumberFormat="1" applyFont="1" applyFill="1" applyBorder="1" applyAlignment="1">
      <alignment/>
    </xf>
    <xf numFmtId="176" fontId="12" fillId="4" borderId="51" xfId="0" applyNumberFormat="1" applyFont="1" applyFill="1" applyBorder="1" applyAlignment="1">
      <alignment/>
    </xf>
    <xf numFmtId="164" fontId="3" fillId="0" borderId="44" xfId="0" applyFont="1" applyBorder="1" applyAlignment="1">
      <alignment/>
    </xf>
    <xf numFmtId="173" fontId="3" fillId="4" borderId="43" xfId="0" applyNumberFormat="1" applyFont="1" applyFill="1" applyBorder="1" applyAlignment="1">
      <alignment/>
    </xf>
    <xf numFmtId="172" fontId="3" fillId="4" borderId="44" xfId="0" applyNumberFormat="1" applyFont="1" applyFill="1" applyBorder="1" applyAlignment="1">
      <alignment horizontal="center"/>
    </xf>
    <xf numFmtId="173" fontId="3" fillId="4" borderId="44" xfId="0" applyNumberFormat="1" applyFont="1" applyFill="1" applyBorder="1" applyAlignment="1">
      <alignment horizontal="right"/>
    </xf>
    <xf numFmtId="165" fontId="3" fillId="4" borderId="46" xfId="0" applyNumberFormat="1" applyFont="1" applyFill="1" applyBorder="1" applyAlignment="1">
      <alignment horizontal="right"/>
    </xf>
    <xf numFmtId="173" fontId="2" fillId="4" borderId="44" xfId="0" applyNumberFormat="1" applyFont="1" applyFill="1" applyBorder="1" applyAlignment="1">
      <alignment horizontal="right"/>
    </xf>
    <xf numFmtId="165" fontId="2" fillId="4" borderId="46" xfId="0" applyNumberFormat="1" applyFont="1" applyFill="1" applyBorder="1" applyAlignment="1">
      <alignment horizontal="right"/>
    </xf>
    <xf numFmtId="164" fontId="0" fillId="0" borderId="52" xfId="0" applyBorder="1" applyAlignment="1">
      <alignment/>
    </xf>
    <xf numFmtId="174" fontId="2" fillId="4" borderId="53" xfId="0" applyNumberFormat="1" applyFont="1" applyFill="1" applyBorder="1" applyAlignment="1">
      <alignment horizontal="center"/>
    </xf>
    <xf numFmtId="173" fontId="0" fillId="4" borderId="54" xfId="0" applyNumberFormat="1" applyFill="1" applyBorder="1" applyAlignment="1">
      <alignment horizontal="right"/>
    </xf>
    <xf numFmtId="173" fontId="5" fillId="4" borderId="54" xfId="0" applyNumberFormat="1" applyFont="1" applyFill="1" applyBorder="1" applyAlignment="1">
      <alignment horizontal="right"/>
    </xf>
    <xf numFmtId="172" fontId="0" fillId="4" borderId="53" xfId="0" applyNumberFormat="1" applyFill="1" applyBorder="1" applyAlignment="1">
      <alignment horizontal="center"/>
    </xf>
    <xf numFmtId="173" fontId="0" fillId="4" borderId="55" xfId="0" applyNumberFormat="1" applyFill="1" applyBorder="1" applyAlignment="1">
      <alignment horizontal="right"/>
    </xf>
    <xf numFmtId="173" fontId="0" fillId="4" borderId="54" xfId="0" applyNumberFormat="1" applyFill="1" applyBorder="1" applyAlignment="1">
      <alignment horizontal="center"/>
    </xf>
    <xf numFmtId="173" fontId="5" fillId="4" borderId="56" xfId="0" applyNumberFormat="1" applyFont="1" applyFill="1" applyBorder="1" applyAlignment="1">
      <alignment horizontal="right"/>
    </xf>
    <xf numFmtId="175" fontId="5" fillId="4" borderId="57" xfId="0" applyNumberFormat="1" applyFont="1" applyFill="1" applyBorder="1" applyAlignment="1">
      <alignment horizontal="center"/>
    </xf>
    <xf numFmtId="173" fontId="0" fillId="4" borderId="53" xfId="0" applyNumberFormat="1" applyFill="1" applyBorder="1" applyAlignment="1">
      <alignment horizontal="right"/>
    </xf>
    <xf numFmtId="175" fontId="5" fillId="4" borderId="54" xfId="0" applyNumberFormat="1" applyFont="1" applyFill="1" applyBorder="1" applyAlignment="1">
      <alignment horizontal="center"/>
    </xf>
    <xf numFmtId="165" fontId="0" fillId="4" borderId="56" xfId="0" applyNumberFormat="1" applyFill="1" applyBorder="1" applyAlignment="1">
      <alignment horizontal="right"/>
    </xf>
    <xf numFmtId="173" fontId="0" fillId="4" borderId="57" xfId="0" applyNumberFormat="1" applyFill="1" applyBorder="1" applyAlignment="1">
      <alignment horizontal="right"/>
    </xf>
    <xf numFmtId="173" fontId="0" fillId="4" borderId="53" xfId="0" applyNumberFormat="1" applyFill="1" applyBorder="1" applyAlignment="1">
      <alignment horizontal="center"/>
    </xf>
    <xf numFmtId="173" fontId="0" fillId="4" borderId="54" xfId="0" applyNumberFormat="1" applyFont="1" applyFill="1" applyBorder="1" applyAlignment="1">
      <alignment horizontal="right"/>
    </xf>
    <xf numFmtId="165" fontId="0" fillId="4" borderId="55" xfId="0" applyNumberFormat="1" applyFont="1" applyFill="1" applyBorder="1" applyAlignment="1">
      <alignment horizontal="right"/>
    </xf>
    <xf numFmtId="173" fontId="0" fillId="4" borderId="57" xfId="0" applyNumberFormat="1" applyFill="1" applyBorder="1" applyAlignment="1">
      <alignment horizontal="center"/>
    </xf>
    <xf numFmtId="176" fontId="0" fillId="4" borderId="54" xfId="0" applyNumberFormat="1" applyFill="1" applyBorder="1" applyAlignment="1">
      <alignment horizontal="right"/>
    </xf>
    <xf numFmtId="176" fontId="0" fillId="4" borderId="57" xfId="0" applyNumberFormat="1" applyFont="1" applyFill="1" applyBorder="1" applyAlignment="1">
      <alignment horizontal="right"/>
    </xf>
    <xf numFmtId="176" fontId="0" fillId="4" borderId="53" xfId="0" applyNumberFormat="1" applyFill="1" applyBorder="1" applyAlignment="1">
      <alignment horizontal="right"/>
    </xf>
    <xf numFmtId="176" fontId="0" fillId="4" borderId="58" xfId="0" applyNumberFormat="1" applyFill="1" applyBorder="1" applyAlignment="1">
      <alignment horizontal="right"/>
    </xf>
    <xf numFmtId="176" fontId="2" fillId="4" borderId="55" xfId="0" applyNumberFormat="1" applyFont="1" applyFill="1" applyBorder="1" applyAlignment="1">
      <alignment/>
    </xf>
    <xf numFmtId="173" fontId="0" fillId="4" borderId="53" xfId="0" applyNumberFormat="1" applyFill="1" applyBorder="1" applyAlignment="1">
      <alignment/>
    </xf>
    <xf numFmtId="176" fontId="0" fillId="4" borderId="57" xfId="0" applyNumberFormat="1" applyFill="1" applyBorder="1" applyAlignment="1">
      <alignment/>
    </xf>
    <xf numFmtId="173" fontId="0" fillId="4" borderId="53" xfId="0" applyNumberFormat="1" applyFont="1" applyFill="1" applyBorder="1" applyAlignment="1">
      <alignment/>
    </xf>
    <xf numFmtId="176" fontId="0" fillId="4" borderId="55" xfId="0" applyNumberFormat="1" applyFill="1" applyBorder="1" applyAlignment="1">
      <alignment/>
    </xf>
    <xf numFmtId="176" fontId="0" fillId="4" borderId="55" xfId="0" applyNumberFormat="1" applyFont="1" applyFill="1" applyBorder="1" applyAlignment="1">
      <alignment/>
    </xf>
    <xf numFmtId="176" fontId="0" fillId="4" borderId="53" xfId="0" applyNumberFormat="1" applyFill="1" applyBorder="1" applyAlignment="1">
      <alignment/>
    </xf>
    <xf numFmtId="176" fontId="0" fillId="4" borderId="54" xfId="0" applyNumberFormat="1" applyFill="1" applyBorder="1" applyAlignment="1">
      <alignment/>
    </xf>
    <xf numFmtId="176" fontId="0" fillId="4" borderId="58" xfId="0" applyNumberFormat="1" applyFill="1" applyBorder="1" applyAlignment="1">
      <alignment/>
    </xf>
    <xf numFmtId="176" fontId="0" fillId="4" borderId="59" xfId="0" applyNumberFormat="1" applyFont="1" applyFill="1" applyBorder="1" applyAlignment="1">
      <alignment/>
    </xf>
    <xf numFmtId="176" fontId="0" fillId="4" borderId="53" xfId="0" applyNumberFormat="1" applyFont="1" applyFill="1" applyBorder="1" applyAlignment="1">
      <alignment/>
    </xf>
    <xf numFmtId="176" fontId="0" fillId="4" borderId="54" xfId="0" applyNumberFormat="1" applyFont="1" applyFill="1" applyBorder="1" applyAlignment="1">
      <alignment/>
    </xf>
    <xf numFmtId="176" fontId="11" fillId="4" borderId="54" xfId="0" applyNumberFormat="1" applyFont="1" applyFill="1" applyBorder="1" applyAlignment="1">
      <alignment/>
    </xf>
    <xf numFmtId="176" fontId="0" fillId="4" borderId="58" xfId="0" applyNumberFormat="1" applyFont="1" applyFill="1" applyBorder="1" applyAlignment="1">
      <alignment/>
    </xf>
    <xf numFmtId="176" fontId="3" fillId="4" borderId="57" xfId="0" applyNumberFormat="1" applyFont="1" applyFill="1" applyBorder="1" applyAlignment="1">
      <alignment/>
    </xf>
    <xf numFmtId="176" fontId="11" fillId="4" borderId="57" xfId="0" applyNumberFormat="1" applyFont="1" applyFill="1" applyBorder="1" applyAlignment="1">
      <alignment/>
    </xf>
    <xf numFmtId="176" fontId="13" fillId="4" borderId="53" xfId="0" applyNumberFormat="1" applyFont="1" applyFill="1" applyBorder="1" applyAlignment="1">
      <alignment/>
    </xf>
    <xf numFmtId="176" fontId="3" fillId="4" borderId="54" xfId="0" applyNumberFormat="1" applyFont="1" applyFill="1" applyBorder="1" applyAlignment="1">
      <alignment/>
    </xf>
    <xf numFmtId="176" fontId="0" fillId="4" borderId="57" xfId="0" applyNumberFormat="1" applyFont="1" applyFill="1" applyBorder="1" applyAlignment="1">
      <alignment/>
    </xf>
    <xf numFmtId="173" fontId="0" fillId="4" borderId="55" xfId="0" applyNumberFormat="1" applyFill="1" applyBorder="1" applyAlignment="1">
      <alignment/>
    </xf>
    <xf numFmtId="176" fontId="2" fillId="4" borderId="60" xfId="0" applyNumberFormat="1" applyFont="1" applyFill="1" applyBorder="1" applyAlignment="1">
      <alignment/>
    </xf>
    <xf numFmtId="164" fontId="0" fillId="0" borderId="61" xfId="0" applyBorder="1" applyAlignment="1">
      <alignment/>
    </xf>
    <xf numFmtId="174" fontId="0" fillId="4" borderId="0" xfId="0" applyNumberFormat="1" applyFill="1" applyAlignment="1">
      <alignment horizontal="center"/>
    </xf>
    <xf numFmtId="173" fontId="2" fillId="4" borderId="28" xfId="0" applyNumberFormat="1" applyFont="1" applyFill="1" applyBorder="1" applyAlignment="1">
      <alignment horizontal="right"/>
    </xf>
    <xf numFmtId="173" fontId="0" fillId="4" borderId="30" xfId="0" applyNumberFormat="1" applyFill="1" applyBorder="1" applyAlignment="1">
      <alignment horizontal="right"/>
    </xf>
    <xf numFmtId="173" fontId="0" fillId="4" borderId="24" xfId="0" applyNumberFormat="1" applyFill="1" applyBorder="1" applyAlignment="1">
      <alignment horizontal="right"/>
    </xf>
    <xf numFmtId="173" fontId="5" fillId="4" borderId="24" xfId="0" applyNumberFormat="1" applyFont="1" applyFill="1" applyBorder="1" applyAlignment="1">
      <alignment horizontal="right"/>
    </xf>
    <xf numFmtId="173" fontId="5" fillId="4" borderId="30" xfId="0" applyNumberFormat="1" applyFont="1" applyFill="1" applyBorder="1" applyAlignment="1">
      <alignment horizontal="right"/>
    </xf>
    <xf numFmtId="175" fontId="5" fillId="4" borderId="29" xfId="0" applyNumberFormat="1" applyFont="1" applyFill="1" applyBorder="1" applyAlignment="1">
      <alignment horizontal="center"/>
    </xf>
    <xf numFmtId="173" fontId="5" fillId="4" borderId="0" xfId="0" applyNumberFormat="1" applyFont="1" applyFill="1" applyBorder="1" applyAlignment="1">
      <alignment horizontal="right"/>
    </xf>
    <xf numFmtId="165" fontId="5" fillId="4" borderId="24" xfId="0" applyNumberFormat="1" applyFont="1" applyFill="1" applyBorder="1" applyAlignment="1">
      <alignment horizontal="right"/>
    </xf>
    <xf numFmtId="176" fontId="0" fillId="4" borderId="12" xfId="0" applyNumberFormat="1" applyFill="1" applyBorder="1" applyAlignment="1">
      <alignment/>
    </xf>
    <xf numFmtId="176" fontId="2" fillId="4" borderId="0" xfId="0" applyNumberFormat="1" applyFont="1" applyFill="1" applyBorder="1" applyAlignment="1">
      <alignment/>
    </xf>
    <xf numFmtId="176" fontId="18" fillId="4" borderId="0" xfId="0" applyNumberFormat="1" applyFont="1" applyFill="1" applyBorder="1" applyAlignment="1">
      <alignment/>
    </xf>
    <xf numFmtId="164" fontId="0" fillId="4" borderId="0" xfId="0" applyFill="1" applyBorder="1" applyAlignment="1">
      <alignment/>
    </xf>
    <xf numFmtId="173" fontId="0" fillId="4" borderId="0" xfId="0" applyNumberFormat="1" applyFill="1" applyBorder="1" applyAlignment="1">
      <alignment horizontal="right"/>
    </xf>
    <xf numFmtId="175" fontId="5" fillId="4" borderId="24" xfId="0" applyNumberFormat="1" applyFont="1" applyFill="1" applyBorder="1" applyAlignment="1">
      <alignment horizontal="center"/>
    </xf>
    <xf numFmtId="165" fontId="0" fillId="4" borderId="24" xfId="0" applyNumberFormat="1" applyFill="1" applyBorder="1" applyAlignment="1">
      <alignment horizontal="right"/>
    </xf>
    <xf numFmtId="176" fontId="12" fillId="4" borderId="0" xfId="0" applyNumberFormat="1" applyFont="1" applyFill="1" applyBorder="1" applyAlignment="1">
      <alignment/>
    </xf>
    <xf numFmtId="164" fontId="0" fillId="0" borderId="43" xfId="0" applyBorder="1" applyAlignment="1">
      <alignment horizontal="center" vertical="center" wrapText="1"/>
    </xf>
    <xf numFmtId="164" fontId="0" fillId="0" borderId="43" xfId="0" applyFont="1" applyBorder="1" applyAlignment="1">
      <alignment horizontal="center" vertical="center" wrapText="1"/>
    </xf>
    <xf numFmtId="164" fontId="0" fillId="0" borderId="43" xfId="0" applyFont="1" applyBorder="1" applyAlignment="1">
      <alignment horizontal="center"/>
    </xf>
    <xf numFmtId="166" fontId="0" fillId="0" borderId="43" xfId="0" applyNumberFormat="1" applyFont="1" applyBorder="1" applyAlignment="1">
      <alignment horizontal="right"/>
    </xf>
    <xf numFmtId="166" fontId="0" fillId="0" borderId="43" xfId="0" applyNumberFormat="1" applyFont="1" applyBorder="1" applyAlignment="1">
      <alignment horizontal="right" vertical="center" wrapText="1"/>
    </xf>
    <xf numFmtId="166" fontId="0" fillId="0" borderId="43" xfId="0" applyNumberForma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62" xfId="0" applyFont="1" applyBorder="1" applyAlignment="1" applyProtection="1">
      <alignment horizontal="center" vertical="center" wrapText="1"/>
      <protection/>
    </xf>
    <xf numFmtId="165" fontId="0" fillId="5" borderId="62" xfId="0" applyNumberFormat="1" applyFill="1" applyBorder="1" applyAlignment="1" applyProtection="1">
      <alignment horizontal="center" vertical="center" wrapText="1"/>
      <protection locked="0"/>
    </xf>
    <xf numFmtId="164" fontId="0" fillId="5" borderId="62" xfId="0" applyFill="1" applyBorder="1" applyAlignment="1" applyProtection="1">
      <alignment horizontal="center" vertical="center" wrapText="1"/>
      <protection locked="0"/>
    </xf>
    <xf numFmtId="178" fontId="0" fillId="0" borderId="62" xfId="0" applyNumberFormat="1" applyBorder="1" applyAlignment="1" applyProtection="1">
      <alignment horizontal="center" vertical="center" wrapText="1"/>
      <protection/>
    </xf>
    <xf numFmtId="178" fontId="0" fillId="6" borderId="62" xfId="0" applyNumberFormat="1" applyFont="1" applyFill="1" applyBorder="1" applyAlignment="1" applyProtection="1">
      <alignment horizontal="center" vertical="center" wrapText="1"/>
      <protection/>
    </xf>
    <xf numFmtId="178" fontId="0" fillId="0" borderId="62" xfId="0" applyNumberFormat="1" applyFill="1" applyBorder="1" applyAlignment="1" applyProtection="1">
      <alignment horizontal="center" vertical="center" wrapText="1"/>
      <protection/>
    </xf>
    <xf numFmtId="173" fontId="0" fillId="0" borderId="62" xfId="0" applyNumberFormat="1" applyBorder="1" applyAlignment="1" applyProtection="1">
      <alignment horizontal="center" vertical="center" wrapText="1"/>
      <protection/>
    </xf>
    <xf numFmtId="165" fontId="0" fillId="0" borderId="62" xfId="0" applyNumberFormat="1" applyFill="1" applyBorder="1" applyAlignment="1" applyProtection="1">
      <alignment horizontal="center" vertical="center" wrapText="1"/>
      <protection/>
    </xf>
    <xf numFmtId="164" fontId="0" fillId="5" borderId="62" xfId="0" applyNumberFormat="1" applyFill="1" applyBorder="1" applyAlignment="1" applyProtection="1">
      <alignment horizontal="center" vertical="center" wrapText="1"/>
      <protection locked="0"/>
    </xf>
    <xf numFmtId="165" fontId="0" fillId="0" borderId="62" xfId="0" applyNumberFormat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 horizontal="center" vertical="center" wrapText="1"/>
    </xf>
    <xf numFmtId="164" fontId="0" fillId="0" borderId="62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 vertical="center" wrapText="1"/>
      <protection/>
    </xf>
    <xf numFmtId="168" fontId="0" fillId="5" borderId="62" xfId="0" applyNumberFormat="1" applyFill="1" applyBorder="1" applyAlignment="1" applyProtection="1">
      <alignment horizontal="center" vertical="center" wrapText="1"/>
      <protection locked="0"/>
    </xf>
    <xf numFmtId="168" fontId="0" fillId="0" borderId="62" xfId="0" applyNumberFormat="1" applyFill="1" applyBorder="1" applyAlignment="1" applyProtection="1">
      <alignment horizontal="center" vertical="center" wrapText="1"/>
      <protection/>
    </xf>
    <xf numFmtId="164" fontId="0" fillId="0" borderId="62" xfId="0" applyFont="1" applyBorder="1" applyAlignment="1">
      <alignment horizontal="center" vertical="center" wrapText="1"/>
    </xf>
    <xf numFmtId="173" fontId="0" fillId="0" borderId="62" xfId="0" applyNumberFormat="1" applyFill="1" applyBorder="1" applyAlignment="1" applyProtection="1">
      <alignment horizontal="center" vertical="center" wrapText="1"/>
      <protection locked="0"/>
    </xf>
    <xf numFmtId="179" fontId="0" fillId="0" borderId="62" xfId="0" applyNumberFormat="1" applyFill="1" applyBorder="1" applyAlignment="1" applyProtection="1">
      <alignment horizontal="center" vertical="center" wrapText="1"/>
      <protection locked="0"/>
    </xf>
    <xf numFmtId="165" fontId="0" fillId="0" borderId="62" xfId="0" applyNumberFormat="1" applyBorder="1" applyAlignment="1" applyProtection="1">
      <alignment horizontal="right" vertical="center" wrapText="1"/>
      <protection/>
    </xf>
    <xf numFmtId="165" fontId="0" fillId="0" borderId="0" xfId="0" applyNumberFormat="1" applyAlignment="1" applyProtection="1">
      <alignment horizontal="center" vertical="center" wrapText="1"/>
      <protection/>
    </xf>
    <xf numFmtId="165" fontId="0" fillId="0" borderId="62" xfId="0" applyNumberFormat="1" applyFont="1" applyBorder="1" applyAlignment="1">
      <alignment horizontal="center" vertical="center" wrapText="1"/>
    </xf>
    <xf numFmtId="179" fontId="0" fillId="0" borderId="62" xfId="0" applyNumberFormat="1" applyBorder="1" applyAlignment="1">
      <alignment horizontal="center" vertical="center" wrapText="1"/>
    </xf>
    <xf numFmtId="165" fontId="0" fillId="7" borderId="62" xfId="0" applyNumberFormat="1" applyFont="1" applyFill="1" applyBorder="1" applyAlignment="1">
      <alignment horizontal="center" vertical="center" wrapText="1"/>
    </xf>
    <xf numFmtId="180" fontId="0" fillId="5" borderId="0" xfId="0" applyNumberFormat="1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64" fontId="0" fillId="6" borderId="0" xfId="0" applyFont="1" applyFill="1" applyAlignment="1">
      <alignment horizontal="left" vertical="center"/>
    </xf>
    <xf numFmtId="164" fontId="0" fillId="6" borderId="0" xfId="0" applyFill="1" applyAlignment="1">
      <alignment horizontal="center" vertical="center" wrapText="1"/>
    </xf>
    <xf numFmtId="168" fontId="0" fillId="8" borderId="62" xfId="0" applyNumberFormat="1" applyFill="1" applyBorder="1" applyAlignment="1" applyProtection="1">
      <alignment horizontal="center" vertical="center" wrapText="1"/>
      <protection locked="0"/>
    </xf>
    <xf numFmtId="169" fontId="0" fillId="8" borderId="62" xfId="0" applyNumberFormat="1" applyFont="1" applyFill="1" applyBorder="1" applyAlignment="1" applyProtection="1">
      <alignment horizontal="center" vertical="center" wrapText="1"/>
      <protection/>
    </xf>
    <xf numFmtId="169" fontId="0" fillId="8" borderId="62" xfId="0" applyNumberFormat="1" applyFont="1" applyFill="1" applyBorder="1" applyAlignment="1">
      <alignment horizontal="center" vertical="center" wrapText="1"/>
    </xf>
    <xf numFmtId="164" fontId="0" fillId="0" borderId="62" xfId="0" applyFont="1" applyBorder="1" applyAlignment="1" applyProtection="1">
      <alignment horizontal="right" vertical="center"/>
      <protection/>
    </xf>
    <xf numFmtId="168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6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tabSelected="1" workbookViewId="0" topLeftCell="A1">
      <selection activeCell="B9" sqref="B9"/>
    </sheetView>
  </sheetViews>
  <sheetFormatPr defaultColWidth="14.8515625" defaultRowHeight="12.75"/>
  <cols>
    <col min="1" max="1" width="3.28125" style="1" customWidth="1"/>
    <col min="2" max="8" width="13.57421875" style="1" customWidth="1"/>
    <col min="9" max="10" width="15.28125" style="1" customWidth="1"/>
    <col min="11" max="14" width="13.57421875" style="1" customWidth="1"/>
    <col min="15" max="16384" width="14.8515625" style="1" customWidth="1"/>
  </cols>
  <sheetData>
    <row r="1" spans="2:4" ht="17.25">
      <c r="B1" s="2"/>
      <c r="C1" s="3"/>
      <c r="D1" s="4"/>
    </row>
    <row r="2" spans="2:7" ht="17.25" customHeight="1">
      <c r="B2" s="5" t="s">
        <v>0</v>
      </c>
      <c r="C2" s="6" t="s">
        <v>1</v>
      </c>
      <c r="D2" s="6"/>
      <c r="E2" s="7" t="s">
        <v>2</v>
      </c>
      <c r="F2" s="7"/>
      <c r="G2" s="8" t="s">
        <v>3</v>
      </c>
    </row>
    <row r="3" ht="12.75">
      <c r="B3"/>
    </row>
    <row r="4" spans="2:10" ht="12.75" customHeight="1">
      <c r="B4" s="9"/>
      <c r="C4" s="9"/>
      <c r="D4" s="10" t="s">
        <v>4</v>
      </c>
      <c r="E4" s="10"/>
      <c r="F4" s="10"/>
      <c r="G4" s="11" t="s">
        <v>5</v>
      </c>
      <c r="H4" s="11"/>
      <c r="I4" s="11"/>
      <c r="J4" s="11"/>
    </row>
    <row r="5" spans="2:256" ht="25.5">
      <c r="B5" s="11" t="s">
        <v>6</v>
      </c>
      <c r="C5" s="11" t="s">
        <v>7</v>
      </c>
      <c r="D5" s="12" t="s">
        <v>8</v>
      </c>
      <c r="E5" s="13" t="s">
        <v>9</v>
      </c>
      <c r="F5" s="13" t="s">
        <v>10</v>
      </c>
      <c r="G5" s="14" t="s">
        <v>10</v>
      </c>
      <c r="H5" s="14" t="s">
        <v>11</v>
      </c>
      <c r="I5" s="15" t="s">
        <v>12</v>
      </c>
      <c r="J5" s="15" t="s">
        <v>13</v>
      </c>
      <c r="IS5"/>
      <c r="IT5"/>
      <c r="IU5"/>
      <c r="IV5"/>
    </row>
    <row r="6" spans="2:256" ht="12.75">
      <c r="B6" s="16">
        <v>75</v>
      </c>
      <c r="C6" s="16">
        <v>2.4</v>
      </c>
      <c r="D6" s="10">
        <v>2.85</v>
      </c>
      <c r="E6" s="17">
        <v>2</v>
      </c>
      <c r="F6" s="17">
        <v>4.95</v>
      </c>
      <c r="G6" s="7">
        <v>4.95</v>
      </c>
      <c r="H6" s="7">
        <v>3.65</v>
      </c>
      <c r="I6" s="11">
        <v>3.65</v>
      </c>
      <c r="J6" s="11">
        <v>2</v>
      </c>
      <c r="IS6"/>
      <c r="IT6"/>
      <c r="IU6"/>
      <c r="IV6"/>
    </row>
    <row r="7" spans="1:256" ht="12.75">
      <c r="A7" s="1" t="s">
        <v>14</v>
      </c>
      <c r="B7" s="16"/>
      <c r="C7" s="16"/>
      <c r="D7" s="12">
        <f>1/D6</f>
        <v>0.3508771929824561</v>
      </c>
      <c r="E7" s="12">
        <f>1/E6</f>
        <v>0.5</v>
      </c>
      <c r="F7" s="12">
        <f>1/F6</f>
        <v>0.20202020202020202</v>
      </c>
      <c r="G7" s="15">
        <f>1/G6</f>
        <v>0.20202020202020202</v>
      </c>
      <c r="H7" s="15">
        <f>1/H6</f>
        <v>0.273972602739726</v>
      </c>
      <c r="I7" s="15">
        <f>1/I6</f>
        <v>0.273972602739726</v>
      </c>
      <c r="J7" s="15"/>
      <c r="IV7"/>
    </row>
    <row r="8" spans="1:256" ht="12.75">
      <c r="A8" s="1" t="s">
        <v>14</v>
      </c>
      <c r="B8" s="16"/>
      <c r="C8" s="16"/>
      <c r="D8" s="18">
        <f>D7*B6</f>
        <v>26.31578947368421</v>
      </c>
      <c r="E8" s="18">
        <f>E7*B6</f>
        <v>37.5</v>
      </c>
      <c r="F8" s="18">
        <f>F7*B6</f>
        <v>15.15151515151515</v>
      </c>
      <c r="G8" s="19">
        <f>G7*B6*24</f>
        <v>363.6363636363636</v>
      </c>
      <c r="H8" s="19">
        <f>H6*B6</f>
        <v>273.75</v>
      </c>
      <c r="I8" s="19">
        <f>I6*B6</f>
        <v>273.75</v>
      </c>
      <c r="J8" s="19">
        <f>J6*B6</f>
        <v>150</v>
      </c>
      <c r="IV8"/>
    </row>
    <row r="9" spans="2:9" ht="12.75">
      <c r="B9" s="20" t="s">
        <v>15</v>
      </c>
      <c r="C9" s="20"/>
      <c r="D9" s="20"/>
      <c r="E9" s="20"/>
      <c r="F9" s="20"/>
      <c r="G9" s="20"/>
      <c r="H9" s="20"/>
      <c r="I9" s="20"/>
    </row>
    <row r="10" spans="2:9" ht="12.75">
      <c r="B10"/>
      <c r="C10" s="20"/>
      <c r="D10" s="20"/>
      <c r="E10" s="20"/>
      <c r="F10" s="20"/>
      <c r="G10" s="20"/>
      <c r="H10" s="20"/>
      <c r="I10" s="20"/>
    </row>
    <row r="11" spans="1:10" ht="12.75" customHeight="1">
      <c r="A11"/>
      <c r="B11" s="21" t="s">
        <v>16</v>
      </c>
      <c r="C11" s="22" t="s">
        <v>17</v>
      </c>
      <c r="D11" s="22"/>
      <c r="E11" s="23" t="s">
        <v>18</v>
      </c>
      <c r="F11" s="23" t="s">
        <v>19</v>
      </c>
      <c r="G11" s="23" t="s">
        <v>20</v>
      </c>
      <c r="H11" s="23" t="s">
        <v>9</v>
      </c>
      <c r="I11" s="23" t="s">
        <v>12</v>
      </c>
      <c r="J11" s="24" t="s">
        <v>10</v>
      </c>
    </row>
    <row r="12" spans="1:10" ht="12.75">
      <c r="A12"/>
      <c r="B12" s="11" t="s">
        <v>15</v>
      </c>
      <c r="C12" s="25"/>
      <c r="D12" s="25"/>
      <c r="E12" s="26">
        <v>0</v>
      </c>
      <c r="F12" s="26">
        <v>0</v>
      </c>
      <c r="G12" s="27">
        <v>0</v>
      </c>
      <c r="H12" s="27">
        <v>0</v>
      </c>
      <c r="I12" s="27">
        <v>0</v>
      </c>
      <c r="J12" s="28">
        <f>I30</f>
        <v>0</v>
      </c>
    </row>
    <row r="13" spans="1:10" ht="12.75" customHeight="1">
      <c r="A13"/>
      <c r="B13" s="29" t="s">
        <v>15</v>
      </c>
      <c r="C13" s="30">
        <v>62</v>
      </c>
      <c r="D13" s="30"/>
      <c r="E13" s="31">
        <f>E12</f>
        <v>0</v>
      </c>
      <c r="F13" s="31">
        <f>F12*D7</f>
        <v>0</v>
      </c>
      <c r="G13" s="32">
        <f>J6*G12</f>
        <v>0</v>
      </c>
      <c r="H13" s="32">
        <f>H12*E7</f>
        <v>0</v>
      </c>
      <c r="I13" s="32">
        <f>I12*I6</f>
        <v>0</v>
      </c>
      <c r="J13" s="33" t="s">
        <v>15</v>
      </c>
    </row>
    <row r="14" spans="1:10" ht="12.75" customHeight="1">
      <c r="A14"/>
      <c r="B14" s="34"/>
      <c r="C14" s="35" t="s">
        <v>15</v>
      </c>
      <c r="D14" s="35"/>
      <c r="E14" s="18">
        <f>E12*B6</f>
        <v>0</v>
      </c>
      <c r="F14" s="18">
        <f>F13*B6</f>
        <v>0</v>
      </c>
      <c r="G14" s="18">
        <f>G13*B6</f>
        <v>0</v>
      </c>
      <c r="H14" s="18">
        <f>H13*B6</f>
        <v>0</v>
      </c>
      <c r="I14" s="18">
        <f>I13*B6</f>
        <v>0</v>
      </c>
      <c r="J14" s="36" t="s">
        <v>15</v>
      </c>
    </row>
    <row r="15" spans="1:10" ht="12.75" customHeight="1">
      <c r="A15"/>
      <c r="B15" s="37">
        <f>LARGE(C15:J15,1)</f>
        <v>4650</v>
      </c>
      <c r="C15" s="38">
        <f>C13*B6</f>
        <v>4650</v>
      </c>
      <c r="D15" s="38"/>
      <c r="E15" s="39">
        <f>E14+F14+G14+H14+I14</f>
        <v>0</v>
      </c>
      <c r="F15" s="39"/>
      <c r="G15" s="39"/>
      <c r="H15" s="39"/>
      <c r="I15" s="40">
        <f>E13+F13+G13+H13+I13</f>
        <v>0</v>
      </c>
      <c r="J15" s="41">
        <f>J12*G8</f>
        <v>0</v>
      </c>
    </row>
    <row r="16" spans="1:9" ht="12.75">
      <c r="A16"/>
      <c r="B16" s="20"/>
      <c r="C16" s="20"/>
      <c r="D16" s="20"/>
      <c r="E16" s="42"/>
      <c r="F16" s="42"/>
      <c r="G16" s="42"/>
      <c r="H16" s="42"/>
      <c r="I16" s="42"/>
    </row>
    <row r="17" spans="1:9" ht="12.75">
      <c r="A17"/>
      <c r="B17" s="20"/>
      <c r="C17" s="20"/>
      <c r="D17" s="20"/>
      <c r="E17" s="42"/>
      <c r="F17" s="42"/>
      <c r="G17" s="42"/>
      <c r="H17" s="42"/>
      <c r="I17" s="42"/>
    </row>
    <row r="18" spans="2:9" ht="12.75">
      <c r="B18" s="20"/>
      <c r="C18" s="20"/>
      <c r="D18" s="20"/>
      <c r="E18" s="20"/>
      <c r="F18" s="20"/>
      <c r="G18" s="20"/>
      <c r="H18" s="20"/>
      <c r="I18" s="20"/>
    </row>
    <row r="19" spans="2:10" ht="25.5">
      <c r="B19" s="21" t="s">
        <v>21</v>
      </c>
      <c r="C19" s="43" t="s">
        <v>22</v>
      </c>
      <c r="D19" s="44" t="s">
        <v>23</v>
      </c>
      <c r="E19" s="23" t="s">
        <v>18</v>
      </c>
      <c r="F19" s="23" t="s">
        <v>19</v>
      </c>
      <c r="G19" s="23" t="s">
        <v>20</v>
      </c>
      <c r="H19" s="23" t="s">
        <v>9</v>
      </c>
      <c r="I19" s="23" t="s">
        <v>24</v>
      </c>
      <c r="J19" s="24" t="s">
        <v>10</v>
      </c>
    </row>
    <row r="20" spans="2:10" ht="12.75">
      <c r="B20" s="11" t="s">
        <v>15</v>
      </c>
      <c r="C20" s="45">
        <v>0</v>
      </c>
      <c r="D20" s="46">
        <v>0</v>
      </c>
      <c r="E20" s="26">
        <v>0</v>
      </c>
      <c r="F20" s="26">
        <v>0</v>
      </c>
      <c r="G20" s="27">
        <v>0</v>
      </c>
      <c r="H20" s="27">
        <v>0</v>
      </c>
      <c r="I20" s="27">
        <v>0</v>
      </c>
      <c r="J20" s="28">
        <v>0</v>
      </c>
    </row>
    <row r="21" spans="2:10" ht="12.75">
      <c r="B21" s="29" t="s">
        <v>15</v>
      </c>
      <c r="C21" s="47">
        <f>IF(C20=0,0,IF(C20=1,2,IF(C20=2,6,IF(C20=3,12,(12+(C20-3)*12)))))</f>
        <v>0</v>
      </c>
      <c r="D21" s="48">
        <f>IF(D20=0,0,IF(D20=1,2,IF(D20=2,6,IF(D20=3,12,(12+(D20-3)*6)))))</f>
        <v>0</v>
      </c>
      <c r="E21" s="31">
        <f>E20</f>
        <v>0</v>
      </c>
      <c r="F21" s="31">
        <f>F20*D7</f>
        <v>0</v>
      </c>
      <c r="G21" s="32">
        <f>G20*J6</f>
        <v>0</v>
      </c>
      <c r="H21" s="32">
        <f>H20*E7</f>
        <v>0</v>
      </c>
      <c r="I21" s="32">
        <f>I20*I6</f>
        <v>0</v>
      </c>
      <c r="J21" s="33" t="s">
        <v>15</v>
      </c>
    </row>
    <row r="22" spans="2:10" ht="12.75">
      <c r="B22" s="49"/>
      <c r="C22" s="50">
        <f>C21*B6</f>
        <v>0</v>
      </c>
      <c r="D22" s="51">
        <f>D21*B6</f>
        <v>0</v>
      </c>
      <c r="E22" s="52">
        <f>E21*B6</f>
        <v>0</v>
      </c>
      <c r="F22" s="52">
        <f>F21*B6</f>
        <v>0</v>
      </c>
      <c r="G22" s="52">
        <f>G21*B6</f>
        <v>0</v>
      </c>
      <c r="H22" s="52">
        <f>H21*B6</f>
        <v>0</v>
      </c>
      <c r="I22" s="52">
        <f>I21*B6</f>
        <v>0</v>
      </c>
      <c r="J22" s="53" t="s">
        <v>15</v>
      </c>
    </row>
    <row r="23" spans="2:10" ht="12.75" customHeight="1">
      <c r="B23" s="54">
        <f>C23+LARGE(E23:J23,1)</f>
        <v>0</v>
      </c>
      <c r="C23" s="55">
        <f>LARGE(C22:D22,1)</f>
        <v>0</v>
      </c>
      <c r="D23" s="55"/>
      <c r="E23" s="18">
        <f>E22+F22+G22+H22+I22</f>
        <v>0</v>
      </c>
      <c r="F23" s="18"/>
      <c r="G23" s="18"/>
      <c r="H23" s="18"/>
      <c r="I23" s="56">
        <f>E21+F21+G21+H21+I21</f>
        <v>0</v>
      </c>
      <c r="J23" s="57">
        <f>J20*G8</f>
        <v>0</v>
      </c>
    </row>
    <row r="24" spans="2:9" ht="12.75">
      <c r="B24" s="9"/>
      <c r="C24" s="58"/>
      <c r="D24"/>
      <c r="E24" s="3"/>
      <c r="F24" s="3"/>
      <c r="G24" s="42"/>
      <c r="H24" s="59"/>
      <c r="I24" s="59"/>
    </row>
    <row r="25" spans="2:9" ht="12.75">
      <c r="B25" s="9"/>
      <c r="C25" s="58"/>
      <c r="D25"/>
      <c r="E25"/>
      <c r="F25"/>
      <c r="G25" s="20"/>
      <c r="H25" s="58"/>
      <c r="I25" s="58"/>
    </row>
    <row r="26" spans="2:14" ht="12.75" customHeight="1">
      <c r="B26"/>
      <c r="C26" s="58"/>
      <c r="D26"/>
      <c r="E26" s="60" t="s">
        <v>25</v>
      </c>
      <c r="F26" s="61">
        <v>0</v>
      </c>
      <c r="H26"/>
      <c r="I26"/>
      <c r="J26"/>
      <c r="K26"/>
      <c r="L26"/>
      <c r="M26"/>
      <c r="N26"/>
    </row>
    <row r="27" spans="2:14" ht="12.75">
      <c r="B27" s="62" t="s">
        <v>26</v>
      </c>
      <c r="C27" s="63">
        <v>0</v>
      </c>
      <c r="D27"/>
      <c r="E27" s="64">
        <v>0.0625</v>
      </c>
      <c r="F27" s="65">
        <f>F26-E27+1</f>
        <v>0.9375</v>
      </c>
      <c r="G27"/>
      <c r="H27" s="29" t="s">
        <v>27</v>
      </c>
      <c r="I27" s="66">
        <v>2</v>
      </c>
      <c r="J27" s="67">
        <v>2</v>
      </c>
      <c r="K27"/>
      <c r="L27"/>
      <c r="M27"/>
      <c r="N27"/>
    </row>
    <row r="28" spans="2:256" ht="12.75">
      <c r="B28" s="62" t="s">
        <v>28</v>
      </c>
      <c r="C28" s="68">
        <f>(C27*24)*C6</f>
        <v>0</v>
      </c>
      <c r="D28"/>
      <c r="E28" s="64">
        <v>0.020833333333333332</v>
      </c>
      <c r="F28" s="65">
        <f>F27-E28</f>
        <v>0.9166666666666666</v>
      </c>
      <c r="G28"/>
      <c r="H28" s="69" t="s">
        <v>29</v>
      </c>
      <c r="I28" s="70">
        <v>2</v>
      </c>
      <c r="J28" s="71">
        <v>2</v>
      </c>
      <c r="K28"/>
      <c r="L28"/>
      <c r="M28"/>
      <c r="N28"/>
      <c r="IV28"/>
    </row>
    <row r="29" spans="2:256" ht="12.75">
      <c r="B29" s="62" t="s">
        <v>16</v>
      </c>
      <c r="C29" s="68">
        <f>B15</f>
        <v>4650</v>
      </c>
      <c r="D29"/>
      <c r="E29" s="72" t="s">
        <v>30</v>
      </c>
      <c r="F29" s="61">
        <v>0.4166666666666667</v>
      </c>
      <c r="H29" s="29" t="s">
        <v>31</v>
      </c>
      <c r="I29" s="73">
        <f>I28-I27</f>
        <v>0</v>
      </c>
      <c r="J29" s="74">
        <f>J28-J27</f>
        <v>0</v>
      </c>
      <c r="K29"/>
      <c r="L29"/>
      <c r="M29"/>
      <c r="N29"/>
      <c r="IV29"/>
    </row>
    <row r="30" spans="2:256" ht="12.75">
      <c r="B30" s="62" t="s">
        <v>21</v>
      </c>
      <c r="C30" s="68">
        <f>B23</f>
        <v>0</v>
      </c>
      <c r="E30" s="75"/>
      <c r="F30" s="76"/>
      <c r="H30" s="29" t="s">
        <v>32</v>
      </c>
      <c r="I30" s="77">
        <f>I29+J29</f>
        <v>0</v>
      </c>
      <c r="J30" s="77"/>
      <c r="K30"/>
      <c r="L30"/>
      <c r="M30"/>
      <c r="N30"/>
      <c r="IV30"/>
    </row>
    <row r="31" spans="2:256" ht="12.75">
      <c r="B31" s="78" t="s">
        <v>32</v>
      </c>
      <c r="C31" s="79">
        <f>SUM(C28:C30)</f>
        <v>4650</v>
      </c>
      <c r="E31" s="15" t="s">
        <v>33</v>
      </c>
      <c r="F31" s="80" t="s">
        <v>34</v>
      </c>
      <c r="G31"/>
      <c r="H31"/>
      <c r="I31"/>
      <c r="J31"/>
      <c r="K31"/>
      <c r="L31"/>
      <c r="M31"/>
      <c r="N31"/>
      <c r="IV31"/>
    </row>
    <row r="32" spans="2:256" ht="12.75">
      <c r="B32" s="81" t="s">
        <v>35</v>
      </c>
      <c r="C32" s="82">
        <f>C31*12</f>
        <v>55800</v>
      </c>
      <c r="D32"/>
      <c r="E32" s="83">
        <v>0.5833333333333334</v>
      </c>
      <c r="F32" s="65">
        <f>F28+E32-F29</f>
        <v>1.0833333333333333</v>
      </c>
      <c r="G32"/>
      <c r="H32"/>
      <c r="I32"/>
      <c r="J32"/>
      <c r="K32"/>
      <c r="L32"/>
      <c r="M32"/>
      <c r="N32"/>
      <c r="IV32"/>
    </row>
    <row r="33" spans="2:256" ht="12.75">
      <c r="B33" t="s">
        <v>15</v>
      </c>
      <c r="C33"/>
      <c r="D33"/>
      <c r="E33" s="83">
        <v>0.6666666666666666</v>
      </c>
      <c r="F33" s="65">
        <f>F28+E33-F29</f>
        <v>1.1666666666666665</v>
      </c>
      <c r="G33"/>
      <c r="H33"/>
      <c r="I33"/>
      <c r="J33"/>
      <c r="K33"/>
      <c r="L33"/>
      <c r="M33"/>
      <c r="N33"/>
      <c r="IV33"/>
    </row>
    <row r="34" spans="2:256" ht="12.75">
      <c r="B34"/>
      <c r="C34"/>
      <c r="D34"/>
      <c r="E34" s="83">
        <v>0.8333333333333334</v>
      </c>
      <c r="F34" s="65">
        <f>F28+E34-F29</f>
        <v>1.3333333333333333</v>
      </c>
      <c r="G34"/>
      <c r="H34"/>
      <c r="I34"/>
      <c r="J34"/>
      <c r="K34"/>
      <c r="L34"/>
      <c r="M34"/>
      <c r="N34"/>
      <c r="IV34"/>
    </row>
    <row r="35" spans="2:256" ht="12.75">
      <c r="B35"/>
      <c r="C35"/>
      <c r="D35"/>
      <c r="E35" s="83">
        <v>0.9166666666666666</v>
      </c>
      <c r="F35" s="65">
        <f>F28+E35-F29</f>
        <v>1.4166666666666665</v>
      </c>
      <c r="G35"/>
      <c r="H35"/>
      <c r="I35"/>
      <c r="J35"/>
      <c r="K35"/>
      <c r="L35"/>
      <c r="M35"/>
      <c r="N35"/>
      <c r="IV35"/>
    </row>
    <row r="36" spans="2:256" ht="12.75">
      <c r="B36"/>
      <c r="C36"/>
      <c r="D36"/>
      <c r="E36" s="84" t="s">
        <v>36</v>
      </c>
      <c r="F36" s="84"/>
      <c r="G36"/>
      <c r="H36"/>
      <c r="I36"/>
      <c r="J36"/>
      <c r="K36"/>
      <c r="L36"/>
      <c r="M36"/>
      <c r="N36"/>
      <c r="IV36"/>
    </row>
    <row r="37" spans="2:256" ht="12.75">
      <c r="B37"/>
      <c r="C37"/>
      <c r="D37"/>
      <c r="E37"/>
      <c r="F37"/>
      <c r="G37"/>
      <c r="H37"/>
      <c r="I37"/>
      <c r="J37"/>
      <c r="K37"/>
      <c r="L37"/>
      <c r="M37"/>
      <c r="N37"/>
      <c r="IV37"/>
    </row>
    <row r="38" spans="2:256" ht="12.75">
      <c r="B38"/>
      <c r="C38"/>
      <c r="D38"/>
      <c r="E38"/>
      <c r="F38"/>
      <c r="G38"/>
      <c r="H38"/>
      <c r="I38"/>
      <c r="J38"/>
      <c r="K38"/>
      <c r="L38"/>
      <c r="M38"/>
      <c r="N38"/>
      <c r="IV38"/>
    </row>
    <row r="39" spans="2:256" ht="12.75">
      <c r="B39"/>
      <c r="C39"/>
      <c r="D39"/>
      <c r="E39"/>
      <c r="F39"/>
      <c r="G39"/>
      <c r="H39"/>
      <c r="I39"/>
      <c r="J39"/>
      <c r="K39"/>
      <c r="L39"/>
      <c r="M39"/>
      <c r="N39"/>
      <c r="IV39"/>
    </row>
    <row r="40" spans="2:256" ht="12.7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IV40"/>
    </row>
    <row r="41" spans="2:256" ht="12.75">
      <c r="B41"/>
      <c r="C41"/>
      <c r="D41"/>
      <c r="E41"/>
      <c r="F41"/>
      <c r="G41"/>
      <c r="H41"/>
      <c r="IV41"/>
    </row>
    <row r="42" spans="2:256" ht="12.75">
      <c r="B42"/>
      <c r="C42"/>
      <c r="D42"/>
      <c r="E42"/>
      <c r="F42"/>
      <c r="G42"/>
      <c r="H42"/>
      <c r="IV42"/>
    </row>
    <row r="43" spans="2:256" ht="12.75">
      <c r="B43"/>
      <c r="C43"/>
      <c r="D43"/>
      <c r="E43"/>
      <c r="F43"/>
      <c r="G43"/>
      <c r="H43"/>
      <c r="IV43"/>
    </row>
    <row r="44" spans="2:256" ht="12.75">
      <c r="B44"/>
      <c r="C44"/>
      <c r="D44"/>
      <c r="E44"/>
      <c r="F44"/>
      <c r="G44"/>
      <c r="H44"/>
      <c r="IV44"/>
    </row>
    <row r="45" spans="2:256" ht="12.75">
      <c r="B45"/>
      <c r="C45"/>
      <c r="D45"/>
      <c r="G45"/>
      <c r="H45"/>
      <c r="IV45"/>
    </row>
    <row r="46" spans="2:256" ht="12.75">
      <c r="B46"/>
      <c r="C46"/>
      <c r="H46"/>
      <c r="IV46"/>
    </row>
    <row r="47" spans="8:256" ht="12.75">
      <c r="H47"/>
      <c r="IV47"/>
    </row>
    <row r="48" ht="12.75" customHeight="1"/>
    <row r="49" spans="2:4" ht="12.75">
      <c r="B49"/>
      <c r="C49"/>
      <c r="D49"/>
    </row>
    <row r="50" spans="3:4" ht="12.75">
      <c r="C50"/>
      <c r="D50"/>
    </row>
    <row r="51" spans="3:6" ht="12.75">
      <c r="C51"/>
      <c r="D51"/>
      <c r="E51" s="8" t="s">
        <v>15</v>
      </c>
      <c r="F51"/>
    </row>
    <row r="52" spans="2:7" ht="12.75">
      <c r="B52"/>
      <c r="C52"/>
      <c r="D52"/>
      <c r="F52"/>
      <c r="G52"/>
    </row>
    <row r="53" spans="2:7" ht="12.75">
      <c r="B53"/>
      <c r="C53"/>
      <c r="D53"/>
      <c r="F53"/>
      <c r="G53"/>
    </row>
    <row r="54" spans="2:7" ht="12.75">
      <c r="B54"/>
      <c r="C54"/>
      <c r="D54"/>
      <c r="F54"/>
      <c r="G54"/>
    </row>
    <row r="55" spans="2:7" ht="12.75">
      <c r="B55"/>
      <c r="C55"/>
      <c r="D55"/>
      <c r="F55"/>
      <c r="G55"/>
    </row>
    <row r="56" spans="2:7" ht="12.75">
      <c r="B56"/>
      <c r="C56"/>
      <c r="D56"/>
      <c r="E56" s="85" t="s">
        <v>15</v>
      </c>
      <c r="F56"/>
      <c r="G56"/>
    </row>
    <row r="57" spans="3:7" ht="12.75">
      <c r="C57"/>
      <c r="D57"/>
      <c r="F57"/>
      <c r="G57"/>
    </row>
    <row r="58" spans="3:7" ht="12.75">
      <c r="C58"/>
      <c r="D58"/>
      <c r="F58"/>
      <c r="G58"/>
    </row>
    <row r="59" spans="3:7" ht="12.75">
      <c r="C59"/>
      <c r="D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E62" s="1" t="s">
        <v>15</v>
      </c>
      <c r="G62"/>
    </row>
    <row r="63" ht="12.75">
      <c r="C63"/>
    </row>
    <row r="64" ht="12.75">
      <c r="C64"/>
    </row>
  </sheetData>
  <sheetProtection selectLockedCells="1" selectUnlockedCells="1"/>
  <mergeCells count="16">
    <mergeCell ref="C2:D2"/>
    <mergeCell ref="E2:F2"/>
    <mergeCell ref="D4:F4"/>
    <mergeCell ref="G4:J4"/>
    <mergeCell ref="B6:B8"/>
    <mergeCell ref="C6:C8"/>
    <mergeCell ref="C11:D11"/>
    <mergeCell ref="C12:D12"/>
    <mergeCell ref="C13:D13"/>
    <mergeCell ref="C14:D14"/>
    <mergeCell ref="C15:D15"/>
    <mergeCell ref="E15:H15"/>
    <mergeCell ref="C23:D23"/>
    <mergeCell ref="E23:H23"/>
    <mergeCell ref="I30:J30"/>
    <mergeCell ref="E36:F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7"/>
  <sheetViews>
    <sheetView showGridLines="0" workbookViewId="0" topLeftCell="A1">
      <selection activeCell="H6" sqref="H6"/>
    </sheetView>
  </sheetViews>
  <sheetFormatPr defaultColWidth="9.140625" defaultRowHeight="12.75"/>
  <cols>
    <col min="1" max="2" width="7.28125" style="0" customWidth="1"/>
    <col min="3" max="3" width="5.57421875" style="0" customWidth="1"/>
    <col min="4" max="5" width="6.421875" style="0" customWidth="1"/>
    <col min="6" max="6" width="7.8515625" style="86" customWidth="1"/>
    <col min="7" max="7" width="6.421875" style="86" customWidth="1"/>
    <col min="8" max="8" width="6.140625" style="87" customWidth="1"/>
    <col min="9" max="10" width="7.00390625" style="0" customWidth="1"/>
    <col min="11" max="11" width="7.57421875" style="88" customWidth="1"/>
    <col min="12" max="12" width="6.140625" style="0" customWidth="1"/>
    <col min="13" max="13" width="5.00390625" style="0" customWidth="1"/>
    <col min="14" max="14" width="7.421875" style="0" customWidth="1"/>
    <col min="15" max="15" width="6.140625" style="0" customWidth="1"/>
    <col min="16" max="16" width="6.421875" style="0" customWidth="1"/>
    <col min="17" max="17" width="6.7109375" style="0" customWidth="1"/>
    <col min="18" max="18" width="5.7109375" style="0" customWidth="1"/>
    <col min="19" max="19" width="7.8515625" style="0" customWidth="1"/>
    <col min="20" max="20" width="7.28125" style="0" customWidth="1"/>
    <col min="21" max="21" width="8.28125" style="0" customWidth="1"/>
    <col min="22" max="22" width="7.57421875" style="0" customWidth="1"/>
    <col min="23" max="23" width="10.7109375" style="89" customWidth="1"/>
    <col min="24" max="24" width="7.00390625" style="0" customWidth="1"/>
    <col min="25" max="25" width="10.57421875" style="89" customWidth="1"/>
    <col min="26" max="26" width="7.7109375" style="0" customWidth="1"/>
    <col min="27" max="27" width="8.140625" style="0" customWidth="1"/>
    <col min="28" max="28" width="7.57421875" style="0" customWidth="1"/>
    <col min="31" max="31" width="10.00390625" style="0" customWidth="1"/>
    <col min="32" max="32" width="10.28125" style="0" customWidth="1"/>
    <col min="33" max="33" width="7.28125" style="0" customWidth="1"/>
    <col min="34" max="34" width="6.421875" style="0" customWidth="1"/>
    <col min="35" max="35" width="11.00390625" style="0" customWidth="1"/>
    <col min="36" max="36" width="6.28125" style="0" customWidth="1"/>
    <col min="37" max="37" width="10.00390625" style="0" customWidth="1"/>
    <col min="38" max="38" width="11.7109375" style="0" customWidth="1"/>
    <col min="39" max="39" width="7.140625" style="0" customWidth="1"/>
    <col min="42" max="43" width="7.8515625" style="0" customWidth="1"/>
    <col min="45" max="45" width="12.00390625" style="0" customWidth="1"/>
    <col min="47" max="47" width="11.28125" style="0" customWidth="1"/>
    <col min="49" max="49" width="10.7109375" style="0" customWidth="1"/>
    <col min="52" max="52" width="7.28125" style="0" customWidth="1"/>
    <col min="53" max="53" width="7.57421875" style="0" customWidth="1"/>
    <col min="55" max="55" width="10.57421875" style="0" customWidth="1"/>
    <col min="56" max="56" width="7.140625" style="0" customWidth="1"/>
    <col min="57" max="57" width="8.28125" style="0" customWidth="1"/>
    <col min="59" max="59" width="10.57421875" style="0" customWidth="1"/>
    <col min="60" max="60" width="11.28125" style="0" customWidth="1"/>
    <col min="62" max="62" width="10.8515625" style="0" customWidth="1"/>
    <col min="63" max="63" width="10.140625" style="0" customWidth="1"/>
    <col min="66" max="66" width="11.00390625" style="0" customWidth="1"/>
    <col min="67" max="68" width="9.8515625" style="0" customWidth="1"/>
    <col min="76" max="76" width="10.00390625" style="0" customWidth="1"/>
    <col min="78" max="78" width="7.28125" style="0" customWidth="1"/>
    <col min="79" max="79" width="10.28125" style="0" customWidth="1"/>
    <col min="80" max="80" width="9.8515625" style="0" customWidth="1"/>
    <col min="82" max="82" width="10.28125" style="0" customWidth="1"/>
    <col min="83" max="83" width="9.8515625" style="0" customWidth="1"/>
    <col min="85" max="85" width="10.57421875" style="0" customWidth="1"/>
    <col min="86" max="86" width="6.8515625" style="0" customWidth="1"/>
    <col min="87" max="87" width="11.57421875" style="0" customWidth="1"/>
    <col min="88" max="88" width="10.140625" style="0" customWidth="1"/>
    <col min="89" max="89" width="11.421875" style="0" customWidth="1"/>
    <col min="92" max="92" width="9.8515625" style="0" customWidth="1"/>
    <col min="93" max="93" width="11.421875" style="90" customWidth="1"/>
    <col min="95" max="95" width="12.421875" style="0" customWidth="1"/>
    <col min="96" max="96" width="11.28125" style="0" customWidth="1"/>
    <col min="97" max="97" width="11.140625" style="0" customWidth="1"/>
    <col min="98" max="98" width="10.00390625" style="0" customWidth="1"/>
    <col min="100" max="100" width="9.8515625" style="0" customWidth="1"/>
    <col min="101" max="101" width="12.421875" style="0" customWidth="1"/>
  </cols>
  <sheetData>
    <row r="1" spans="1:101" ht="15">
      <c r="A1" s="91" t="s">
        <v>37</v>
      </c>
      <c r="C1" s="92"/>
      <c r="D1" s="92"/>
      <c r="E1" s="92"/>
      <c r="F1" s="93"/>
      <c r="G1" s="93"/>
      <c r="H1" s="94"/>
      <c r="I1" s="92"/>
      <c r="J1" s="92"/>
      <c r="K1" s="95"/>
      <c r="L1" s="92"/>
      <c r="M1" s="96"/>
      <c r="N1" s="97"/>
      <c r="O1" s="98"/>
      <c r="P1" s="92"/>
      <c r="Q1" s="92"/>
      <c r="R1" s="92"/>
      <c r="S1" s="92"/>
      <c r="T1" s="92"/>
      <c r="U1" s="95"/>
      <c r="V1" s="95"/>
      <c r="W1" s="99"/>
      <c r="X1" s="95"/>
      <c r="Y1" s="99"/>
      <c r="Z1" s="95"/>
      <c r="AA1" s="95"/>
      <c r="AB1" s="95"/>
      <c r="AC1" s="100"/>
      <c r="AD1" s="100"/>
      <c r="AE1" s="100"/>
      <c r="AF1" s="100"/>
      <c r="AG1" s="34"/>
      <c r="AH1" s="101"/>
      <c r="AI1" s="34"/>
      <c r="AJ1" s="101"/>
      <c r="AK1" s="34"/>
      <c r="AL1" s="34"/>
      <c r="AM1" s="34"/>
      <c r="AN1" s="34"/>
      <c r="AO1" s="34"/>
      <c r="AP1" s="34"/>
      <c r="AQ1" s="34"/>
      <c r="AR1" s="101"/>
      <c r="AS1" s="34"/>
      <c r="AT1" s="101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102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101"/>
      <c r="CI1" s="34"/>
      <c r="CJ1" s="103"/>
      <c r="CK1" s="103"/>
      <c r="CL1" s="103"/>
      <c r="CM1" s="103"/>
      <c r="CN1" s="103"/>
      <c r="CO1" s="104"/>
      <c r="CP1" s="34"/>
      <c r="CQ1" s="34"/>
      <c r="CR1" s="34"/>
      <c r="CS1" s="34"/>
      <c r="CT1" s="34"/>
      <c r="CU1" s="34"/>
      <c r="CV1" s="34"/>
      <c r="CW1" s="34"/>
    </row>
    <row r="2" spans="2:101" ht="12.75">
      <c r="B2" s="105"/>
      <c r="C2" s="92"/>
      <c r="D2" s="92"/>
      <c r="E2" s="92"/>
      <c r="F2" s="93"/>
      <c r="G2" s="93"/>
      <c r="H2" s="94"/>
      <c r="I2" s="92"/>
      <c r="J2" s="92"/>
      <c r="K2" s="95"/>
      <c r="L2" s="92"/>
      <c r="M2" s="96"/>
      <c r="N2" s="97"/>
      <c r="O2" s="98"/>
      <c r="P2" s="92"/>
      <c r="Q2" s="92"/>
      <c r="R2" s="92"/>
      <c r="S2" s="92"/>
      <c r="T2" s="92"/>
      <c r="U2" s="95"/>
      <c r="V2" s="95"/>
      <c r="W2" s="99"/>
      <c r="X2" s="95"/>
      <c r="Y2" s="99"/>
      <c r="Z2" s="95"/>
      <c r="AA2" s="95"/>
      <c r="AB2" s="95"/>
      <c r="AC2" s="100"/>
      <c r="AD2" s="100"/>
      <c r="AE2" s="100"/>
      <c r="AF2" s="100"/>
      <c r="AG2" s="34"/>
      <c r="AH2" s="101"/>
      <c r="AI2" s="34"/>
      <c r="AJ2" s="101"/>
      <c r="AK2" s="34"/>
      <c r="AL2" s="34"/>
      <c r="AM2" s="34"/>
      <c r="AN2" s="34"/>
      <c r="AO2" s="34"/>
      <c r="AP2" s="34"/>
      <c r="AQ2" s="34"/>
      <c r="AR2" s="101"/>
      <c r="AS2" s="34"/>
      <c r="AT2" s="101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102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101"/>
      <c r="CI2" s="34"/>
      <c r="CJ2" s="103"/>
      <c r="CK2" s="103"/>
      <c r="CL2" s="103"/>
      <c r="CM2" s="103"/>
      <c r="CN2" s="103"/>
      <c r="CO2" s="104"/>
      <c r="CP2" s="34"/>
      <c r="CQ2" s="34"/>
      <c r="CR2" s="34"/>
      <c r="CS2" s="34"/>
      <c r="CT2" s="34"/>
      <c r="CU2" s="34"/>
      <c r="CV2" s="34"/>
      <c r="CW2" s="34"/>
    </row>
    <row r="3" spans="2:101" ht="12.75">
      <c r="B3" s="105" t="s">
        <v>38</v>
      </c>
      <c r="C3" s="92"/>
      <c r="D3" s="92"/>
      <c r="E3" s="92"/>
      <c r="F3" s="93"/>
      <c r="G3" s="93"/>
      <c r="H3" s="94"/>
      <c r="I3" s="92"/>
      <c r="J3" s="92"/>
      <c r="K3" s="95"/>
      <c r="L3" s="92"/>
      <c r="M3" s="96" t="s">
        <v>39</v>
      </c>
      <c r="N3" s="97">
        <v>201</v>
      </c>
      <c r="O3" s="98" t="s">
        <v>40</v>
      </c>
      <c r="P3" s="92"/>
      <c r="Q3" s="92"/>
      <c r="R3" s="92"/>
      <c r="S3" s="92"/>
      <c r="T3" s="92"/>
      <c r="U3" s="95"/>
      <c r="V3" s="95"/>
      <c r="W3" s="99"/>
      <c r="X3" s="95"/>
      <c r="Y3" s="99"/>
      <c r="Z3" s="95"/>
      <c r="AA3" s="95"/>
      <c r="AB3" s="95"/>
      <c r="AC3" s="100"/>
      <c r="AD3" s="100"/>
      <c r="AE3" s="100"/>
      <c r="AF3" s="100"/>
      <c r="AG3" s="34"/>
      <c r="AH3" s="101"/>
      <c r="AI3" s="34"/>
      <c r="AJ3" s="101"/>
      <c r="AK3" s="34"/>
      <c r="AL3" s="34"/>
      <c r="AM3" s="34"/>
      <c r="AN3" s="34"/>
      <c r="AO3" s="34"/>
      <c r="AP3" s="34"/>
      <c r="AQ3" s="34"/>
      <c r="AR3" s="101"/>
      <c r="AS3" s="34"/>
      <c r="AT3" s="101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102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101"/>
      <c r="CI3" s="34"/>
      <c r="CJ3" s="103"/>
      <c r="CK3" s="103"/>
      <c r="CL3" s="103"/>
      <c r="CM3" s="103"/>
      <c r="CN3" s="103"/>
      <c r="CO3" s="104"/>
      <c r="CP3" s="34"/>
      <c r="CQ3" s="34"/>
      <c r="CR3" s="34"/>
      <c r="CS3" s="34"/>
      <c r="CT3" s="34"/>
      <c r="CU3" s="34"/>
      <c r="CV3" s="34"/>
      <c r="CW3" s="34"/>
    </row>
    <row r="4" spans="2:101" ht="12.75">
      <c r="B4" s="106"/>
      <c r="C4" s="92"/>
      <c r="D4" s="92"/>
      <c r="E4" s="92"/>
      <c r="F4" s="93"/>
      <c r="G4" s="93"/>
      <c r="H4" s="94"/>
      <c r="I4" s="92"/>
      <c r="J4" s="92"/>
      <c r="K4" s="95"/>
      <c r="L4" s="92"/>
      <c r="M4" s="96" t="s">
        <v>41</v>
      </c>
      <c r="N4" s="107">
        <v>203.01</v>
      </c>
      <c r="O4" s="98" t="s">
        <v>42</v>
      </c>
      <c r="P4" s="92"/>
      <c r="Q4" s="92"/>
      <c r="R4" s="92"/>
      <c r="S4" s="92"/>
      <c r="T4" s="92"/>
      <c r="U4" s="95"/>
      <c r="V4" s="95"/>
      <c r="W4" s="99"/>
      <c r="X4" s="95"/>
      <c r="Y4" s="99"/>
      <c r="Z4" s="95"/>
      <c r="AA4" s="95"/>
      <c r="AB4" s="95"/>
      <c r="AC4" s="100"/>
      <c r="AD4" s="100"/>
      <c r="AE4" s="100"/>
      <c r="AF4" s="100"/>
      <c r="AG4" s="34"/>
      <c r="AH4" s="101"/>
      <c r="AI4" s="34"/>
      <c r="AJ4" s="101"/>
      <c r="AK4" s="34"/>
      <c r="AL4" s="34"/>
      <c r="AM4" s="34"/>
      <c r="AN4" s="34"/>
      <c r="AO4" s="34"/>
      <c r="AP4" s="34"/>
      <c r="AQ4" s="34"/>
      <c r="AR4" s="101"/>
      <c r="AS4" s="34"/>
      <c r="AT4" s="101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102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101"/>
      <c r="CI4" s="34"/>
      <c r="CJ4" s="103"/>
      <c r="CK4" s="103"/>
      <c r="CL4" s="103"/>
      <c r="CM4" s="103"/>
      <c r="CN4" s="103"/>
      <c r="CO4" s="104"/>
      <c r="CP4" s="34"/>
      <c r="CQ4" s="34"/>
      <c r="CR4" s="34"/>
      <c r="CS4" s="34"/>
      <c r="CT4" s="34"/>
      <c r="CU4" s="34"/>
      <c r="CV4" s="34"/>
      <c r="CW4" s="34"/>
    </row>
    <row r="5" spans="2:101" ht="12.75">
      <c r="B5" s="105" t="s">
        <v>43</v>
      </c>
      <c r="C5" s="92"/>
      <c r="D5" s="34"/>
      <c r="E5" s="34"/>
      <c r="F5" s="108"/>
      <c r="G5" s="108"/>
      <c r="H5" s="109"/>
      <c r="I5" s="92"/>
      <c r="J5" s="110"/>
      <c r="K5" s="111"/>
      <c r="L5" s="110"/>
      <c r="M5" s="112" t="s">
        <v>44</v>
      </c>
      <c r="N5" s="110"/>
      <c r="O5" s="110"/>
      <c r="P5" s="110"/>
      <c r="Q5" s="110"/>
      <c r="R5" s="110"/>
      <c r="S5" s="110"/>
      <c r="T5" s="92"/>
      <c r="U5" s="95"/>
      <c r="V5" s="95"/>
      <c r="W5" s="99"/>
      <c r="X5" s="95"/>
      <c r="Y5" s="99"/>
      <c r="Z5" s="95"/>
      <c r="AA5" s="95"/>
      <c r="AB5" s="95"/>
      <c r="AC5" s="100"/>
      <c r="AD5" s="100"/>
      <c r="AE5" s="100"/>
      <c r="AF5" s="100"/>
      <c r="AG5" s="102" t="s">
        <v>45</v>
      </c>
      <c r="AH5" s="101"/>
      <c r="AI5" s="34"/>
      <c r="AJ5" s="101"/>
      <c r="AK5" s="34"/>
      <c r="AL5" s="34"/>
      <c r="AM5" s="34"/>
      <c r="AN5" s="34"/>
      <c r="AO5" s="34"/>
      <c r="AP5" s="34"/>
      <c r="AQ5" s="34"/>
      <c r="AR5" s="101"/>
      <c r="AS5" s="34"/>
      <c r="AT5" s="101"/>
      <c r="AU5" s="34"/>
      <c r="AV5" s="34"/>
      <c r="AW5" s="34"/>
      <c r="AX5" s="34"/>
      <c r="AY5" s="34"/>
      <c r="AZ5" s="102" t="s">
        <v>45</v>
      </c>
      <c r="BA5" s="34"/>
      <c r="BB5" s="34"/>
      <c r="BC5" s="34"/>
      <c r="BD5" s="34"/>
      <c r="BE5" s="34"/>
      <c r="BF5" s="34"/>
      <c r="BG5" s="34"/>
      <c r="BH5" s="34"/>
      <c r="BI5" s="34"/>
      <c r="BJ5" s="102" t="s">
        <v>45</v>
      </c>
      <c r="BK5" s="34"/>
      <c r="BL5" s="34"/>
      <c r="BM5" s="102"/>
      <c r="BN5" s="34"/>
      <c r="BO5" s="34"/>
      <c r="BP5" s="34"/>
      <c r="BQ5" s="34"/>
      <c r="BR5" s="102" t="s">
        <v>45</v>
      </c>
      <c r="BS5" s="102"/>
      <c r="BT5" s="102"/>
      <c r="BU5" s="102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101"/>
      <c r="CI5" s="34"/>
      <c r="CJ5" s="103"/>
      <c r="CK5" s="103"/>
      <c r="CL5" s="103"/>
      <c r="CM5" s="103"/>
      <c r="CN5" s="103"/>
      <c r="CO5" s="104"/>
      <c r="CP5" s="34"/>
      <c r="CQ5" s="34"/>
      <c r="CR5" s="34"/>
      <c r="CS5" s="34"/>
      <c r="CT5" s="34"/>
      <c r="CU5" s="34"/>
      <c r="CV5" s="34"/>
      <c r="CW5" s="34"/>
    </row>
    <row r="6" spans="2:101" ht="12.75">
      <c r="B6" s="113"/>
      <c r="C6" s="92"/>
      <c r="D6" s="92"/>
      <c r="E6" s="92"/>
      <c r="F6" s="93"/>
      <c r="G6" s="93"/>
      <c r="H6" s="94"/>
      <c r="I6" s="92"/>
      <c r="J6" s="92"/>
      <c r="K6" s="95"/>
      <c r="L6" s="92"/>
      <c r="M6" s="114"/>
      <c r="N6" s="92"/>
      <c r="O6" s="92"/>
      <c r="P6" s="92"/>
      <c r="Q6" s="92"/>
      <c r="R6" s="92"/>
      <c r="S6" s="92"/>
      <c r="T6" s="92"/>
      <c r="U6" s="95"/>
      <c r="V6" s="95"/>
      <c r="W6" s="99"/>
      <c r="X6" s="95"/>
      <c r="Y6" s="99"/>
      <c r="Z6" s="95"/>
      <c r="AA6" s="95"/>
      <c r="AB6" s="95"/>
      <c r="AC6" s="100"/>
      <c r="AD6" s="100"/>
      <c r="AE6" s="100"/>
      <c r="AF6" s="100"/>
      <c r="AG6" s="115" t="s">
        <v>46</v>
      </c>
      <c r="AH6" s="101"/>
      <c r="AI6" s="34"/>
      <c r="AJ6" s="101"/>
      <c r="AK6" s="34"/>
      <c r="AL6" s="34"/>
      <c r="AM6" s="34"/>
      <c r="AN6" s="34"/>
      <c r="AO6" s="34"/>
      <c r="AP6" s="34"/>
      <c r="AQ6" s="34"/>
      <c r="AR6" s="101"/>
      <c r="AS6" s="34"/>
      <c r="AT6" s="101"/>
      <c r="AU6" s="34"/>
      <c r="AV6" s="34"/>
      <c r="AW6" s="34"/>
      <c r="AX6" s="34"/>
      <c r="AY6" s="34"/>
      <c r="AZ6" s="115" t="s">
        <v>46</v>
      </c>
      <c r="BA6" s="34"/>
      <c r="BB6" s="34"/>
      <c r="BC6" s="34"/>
      <c r="BD6" s="34"/>
      <c r="BE6" s="34"/>
      <c r="BF6" s="34"/>
      <c r="BG6" s="34"/>
      <c r="BH6" s="34"/>
      <c r="BI6" s="34"/>
      <c r="BJ6" s="115" t="s">
        <v>46</v>
      </c>
      <c r="BK6" s="34"/>
      <c r="BL6" s="34"/>
      <c r="BM6" s="102"/>
      <c r="BN6" s="34"/>
      <c r="BO6" s="34"/>
      <c r="BP6" s="34"/>
      <c r="BQ6" s="34"/>
      <c r="BR6" s="115" t="s">
        <v>46</v>
      </c>
      <c r="BS6" s="115"/>
      <c r="BT6" s="115"/>
      <c r="BU6" s="115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101"/>
      <c r="CI6" s="34"/>
      <c r="CJ6" s="103"/>
      <c r="CK6" s="103"/>
      <c r="CL6" s="103"/>
      <c r="CM6" s="103"/>
      <c r="CN6" s="103"/>
      <c r="CO6" s="104"/>
      <c r="CP6" s="34"/>
      <c r="CQ6" s="34"/>
      <c r="CR6" s="34"/>
      <c r="CS6" s="34"/>
      <c r="CT6" s="34"/>
      <c r="CU6" s="34"/>
      <c r="CV6" s="34"/>
      <c r="CW6" s="34"/>
    </row>
    <row r="7" spans="2:101" ht="12.75" customHeight="1">
      <c r="B7" s="116" t="s">
        <v>47</v>
      </c>
      <c r="C7" s="117"/>
      <c r="D7" s="117"/>
      <c r="E7" s="117"/>
      <c r="F7" s="118"/>
      <c r="G7" s="118"/>
      <c r="H7" s="119"/>
      <c r="I7" s="117"/>
      <c r="J7" s="120" t="s">
        <v>48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21" t="s">
        <v>49</v>
      </c>
      <c r="V7" s="121"/>
      <c r="W7" s="121"/>
      <c r="X7" s="121"/>
      <c r="Y7" s="121"/>
      <c r="Z7" s="121"/>
      <c r="AA7" s="121"/>
      <c r="AB7" s="122" t="s">
        <v>7</v>
      </c>
      <c r="AC7" s="122"/>
      <c r="AD7" s="122"/>
      <c r="AE7" s="122"/>
      <c r="AF7" s="122"/>
      <c r="AG7" s="123" t="s">
        <v>50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 t="s">
        <v>51</v>
      </c>
      <c r="BA7" s="123"/>
      <c r="BB7" s="123"/>
      <c r="BC7" s="123"/>
      <c r="BD7" s="123"/>
      <c r="BE7" s="123"/>
      <c r="BF7" s="123"/>
      <c r="BG7" s="123"/>
      <c r="BH7" s="123"/>
      <c r="BI7" s="123"/>
      <c r="BJ7" s="123" t="s">
        <v>52</v>
      </c>
      <c r="BK7" s="123"/>
      <c r="BL7" s="123"/>
      <c r="BM7" s="123"/>
      <c r="BN7" s="123"/>
      <c r="BO7" s="123"/>
      <c r="BP7" s="123"/>
      <c r="BQ7" s="123"/>
      <c r="BR7" s="123" t="s">
        <v>53</v>
      </c>
      <c r="BS7" s="123"/>
      <c r="BT7" s="123"/>
      <c r="BU7" s="123"/>
      <c r="BV7" s="123"/>
      <c r="BW7" s="123"/>
      <c r="BX7" s="123"/>
      <c r="BY7" s="123"/>
      <c r="BZ7" s="123"/>
      <c r="CA7" s="123"/>
      <c r="CB7" s="123" t="s">
        <v>54</v>
      </c>
      <c r="CC7" s="123"/>
      <c r="CD7" s="123"/>
      <c r="CE7" s="123"/>
      <c r="CF7" s="123"/>
      <c r="CG7" s="123"/>
      <c r="CH7" s="123" t="s">
        <v>55</v>
      </c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</row>
    <row r="8" spans="2:101" ht="12.75" customHeight="1">
      <c r="B8" s="113" t="s">
        <v>56</v>
      </c>
      <c r="C8" s="111"/>
      <c r="D8" s="111"/>
      <c r="F8" s="124"/>
      <c r="G8" s="124"/>
      <c r="H8" s="125"/>
      <c r="I8" s="95" t="s">
        <v>57</v>
      </c>
      <c r="J8" s="111"/>
      <c r="M8" s="126"/>
      <c r="N8" s="111"/>
      <c r="O8" s="111"/>
      <c r="P8" s="111"/>
      <c r="Q8" s="95" t="s">
        <v>58</v>
      </c>
      <c r="S8" s="111"/>
      <c r="T8" s="95"/>
      <c r="U8" s="127"/>
      <c r="V8" s="111"/>
      <c r="W8" s="128"/>
      <c r="X8" s="111"/>
      <c r="Y8" s="128"/>
      <c r="Z8" s="111"/>
      <c r="AA8" s="126"/>
      <c r="AB8" s="129"/>
      <c r="AC8" s="130"/>
      <c r="AD8" s="130"/>
      <c r="AE8" s="129"/>
      <c r="AF8" s="130"/>
      <c r="AG8" s="131" t="s">
        <v>59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1" t="s">
        <v>60</v>
      </c>
      <c r="AR8" s="131"/>
      <c r="AS8" s="131"/>
      <c r="AT8" s="131"/>
      <c r="AU8" s="131"/>
      <c r="AV8" s="131"/>
      <c r="AW8" s="131"/>
      <c r="AX8" s="131"/>
      <c r="AY8" s="131"/>
      <c r="AZ8" s="132" t="s">
        <v>59</v>
      </c>
      <c r="BA8" s="132"/>
      <c r="BB8" s="132"/>
      <c r="BC8" s="132"/>
      <c r="BD8" s="132"/>
      <c r="BE8" s="133" t="s">
        <v>60</v>
      </c>
      <c r="BF8" s="133"/>
      <c r="BG8" s="133"/>
      <c r="BH8" s="133"/>
      <c r="BI8" s="133"/>
      <c r="BJ8" s="132" t="s">
        <v>59</v>
      </c>
      <c r="BK8" s="132"/>
      <c r="BL8" s="132"/>
      <c r="BM8" s="132"/>
      <c r="BN8" s="134" t="s">
        <v>60</v>
      </c>
      <c r="BO8" s="134"/>
      <c r="BP8" s="134"/>
      <c r="BQ8" s="134"/>
      <c r="BR8" s="135" t="s">
        <v>59</v>
      </c>
      <c r="BS8" s="135"/>
      <c r="BT8" s="135"/>
      <c r="BU8" s="135"/>
      <c r="BV8" s="135"/>
      <c r="BW8" s="136" t="s">
        <v>60</v>
      </c>
      <c r="BX8" s="136"/>
      <c r="BY8" s="136"/>
      <c r="BZ8" s="136"/>
      <c r="CA8" s="136"/>
      <c r="CB8" s="135" t="s">
        <v>59</v>
      </c>
      <c r="CC8" s="135"/>
      <c r="CD8" s="135"/>
      <c r="CE8" s="136" t="s">
        <v>60</v>
      </c>
      <c r="CF8" s="136"/>
      <c r="CG8" s="136"/>
      <c r="CH8" s="131" t="s">
        <v>59</v>
      </c>
      <c r="CI8" s="131"/>
      <c r="CJ8" s="131"/>
      <c r="CK8" s="131"/>
      <c r="CL8" s="131"/>
      <c r="CM8" s="131"/>
      <c r="CN8" s="131"/>
      <c r="CO8" s="131"/>
      <c r="CP8" s="133" t="s">
        <v>60</v>
      </c>
      <c r="CQ8" s="133"/>
      <c r="CR8" s="133"/>
      <c r="CS8" s="133"/>
      <c r="CT8" s="133"/>
      <c r="CU8" s="133"/>
      <c r="CV8" s="133"/>
      <c r="CW8" s="133"/>
    </row>
    <row r="9" spans="2:101" ht="12.75" customHeight="1">
      <c r="B9" s="137"/>
      <c r="D9" s="138"/>
      <c r="F9" s="139" t="s">
        <v>61</v>
      </c>
      <c r="G9" s="139" t="s">
        <v>61</v>
      </c>
      <c r="H9" s="140" t="s">
        <v>62</v>
      </c>
      <c r="I9" s="141"/>
      <c r="J9" s="142"/>
      <c r="K9" s="143" t="s">
        <v>63</v>
      </c>
      <c r="L9" s="144" t="s">
        <v>61</v>
      </c>
      <c r="M9" s="145" t="s">
        <v>64</v>
      </c>
      <c r="N9" s="146"/>
      <c r="O9" s="146"/>
      <c r="P9" s="124" t="s">
        <v>61</v>
      </c>
      <c r="Q9" s="124" t="s">
        <v>61</v>
      </c>
      <c r="R9" s="86"/>
      <c r="S9" s="146" t="s">
        <v>65</v>
      </c>
      <c r="T9" s="147" t="s">
        <v>66</v>
      </c>
      <c r="U9" s="148" t="s">
        <v>67</v>
      </c>
      <c r="V9" s="143" t="s">
        <v>68</v>
      </c>
      <c r="W9" s="149" t="s">
        <v>69</v>
      </c>
      <c r="X9" s="150" t="s">
        <v>70</v>
      </c>
      <c r="Y9" s="149" t="s">
        <v>70</v>
      </c>
      <c r="Z9" s="148" t="s">
        <v>71</v>
      </c>
      <c r="AA9" s="150" t="s">
        <v>71</v>
      </c>
      <c r="AB9" s="151" t="s">
        <v>70</v>
      </c>
      <c r="AC9" s="152" t="s">
        <v>68</v>
      </c>
      <c r="AD9" s="153" t="s">
        <v>70</v>
      </c>
      <c r="AE9" s="154" t="s">
        <v>72</v>
      </c>
      <c r="AF9" s="153" t="s">
        <v>72</v>
      </c>
      <c r="AG9" s="155" t="s">
        <v>73</v>
      </c>
      <c r="AH9" s="156" t="s">
        <v>17</v>
      </c>
      <c r="AI9" s="156"/>
      <c r="AJ9" s="157" t="s">
        <v>74</v>
      </c>
      <c r="AK9" s="157"/>
      <c r="AL9" s="157" t="s">
        <v>75</v>
      </c>
      <c r="AM9" s="158"/>
      <c r="AN9" s="159" t="s">
        <v>76</v>
      </c>
      <c r="AO9" s="159"/>
      <c r="AP9" s="159"/>
      <c r="AQ9" s="138" t="s">
        <v>73</v>
      </c>
      <c r="AR9" s="156" t="s">
        <v>17</v>
      </c>
      <c r="AS9" s="156"/>
      <c r="AT9" s="157" t="s">
        <v>74</v>
      </c>
      <c r="AU9" s="157"/>
      <c r="AV9" s="106"/>
      <c r="AW9" s="159" t="s">
        <v>76</v>
      </c>
      <c r="AX9" s="159"/>
      <c r="AY9" s="159"/>
      <c r="AZ9" s="160" t="s">
        <v>77</v>
      </c>
      <c r="BA9" s="161" t="s">
        <v>73</v>
      </c>
      <c r="BB9" s="162"/>
      <c r="BC9" s="161"/>
      <c r="BD9" s="160" t="s">
        <v>78</v>
      </c>
      <c r="BE9" s="163" t="s">
        <v>77</v>
      </c>
      <c r="BF9" s="161" t="s">
        <v>73</v>
      </c>
      <c r="BG9" s="161"/>
      <c r="BH9" s="160"/>
      <c r="BI9" s="161" t="s">
        <v>78</v>
      </c>
      <c r="BJ9" s="164" t="s">
        <v>79</v>
      </c>
      <c r="BK9" s="162" t="s">
        <v>80</v>
      </c>
      <c r="BL9" s="161" t="s">
        <v>81</v>
      </c>
      <c r="BM9" s="157" t="s">
        <v>82</v>
      </c>
      <c r="BN9" s="161" t="s">
        <v>79</v>
      </c>
      <c r="BO9" s="162" t="s">
        <v>80</v>
      </c>
      <c r="BP9" s="161" t="s">
        <v>81</v>
      </c>
      <c r="BQ9" s="165" t="s">
        <v>82</v>
      </c>
      <c r="BR9" s="162"/>
      <c r="BS9" s="106"/>
      <c r="BT9" s="106" t="s">
        <v>76</v>
      </c>
      <c r="BU9" s="106"/>
      <c r="BV9" s="166"/>
      <c r="BW9" s="162"/>
      <c r="BX9" s="106"/>
      <c r="BY9" s="106" t="s">
        <v>76</v>
      </c>
      <c r="BZ9" s="106"/>
      <c r="CA9" s="165"/>
      <c r="CB9" s="162"/>
      <c r="CC9" s="167" t="s">
        <v>7</v>
      </c>
      <c r="CD9" s="167"/>
      <c r="CE9" s="162"/>
      <c r="CF9" s="165" t="s">
        <v>7</v>
      </c>
      <c r="CG9" s="165"/>
      <c r="CH9" s="138"/>
      <c r="CI9" s="138"/>
      <c r="CJ9" s="138"/>
      <c r="CK9" s="138"/>
      <c r="CL9" s="138"/>
      <c r="CM9" s="168" t="s">
        <v>83</v>
      </c>
      <c r="CN9" s="138"/>
      <c r="CO9" s="133"/>
      <c r="CP9" s="169"/>
      <c r="CQ9" s="170"/>
      <c r="CR9" s="170"/>
      <c r="CS9" s="170"/>
      <c r="CT9" s="170"/>
      <c r="CU9" s="171" t="s">
        <v>83</v>
      </c>
      <c r="CV9" s="29"/>
      <c r="CW9" s="133"/>
    </row>
    <row r="10" spans="2:101" ht="12.75">
      <c r="B10" s="172"/>
      <c r="C10" s="173" t="s">
        <v>84</v>
      </c>
      <c r="D10" s="174" t="s">
        <v>8</v>
      </c>
      <c r="E10" s="175" t="s">
        <v>85</v>
      </c>
      <c r="F10" s="176" t="s">
        <v>86</v>
      </c>
      <c r="G10" s="177" t="s">
        <v>8</v>
      </c>
      <c r="H10" s="178" t="s">
        <v>87</v>
      </c>
      <c r="I10" s="179" t="s">
        <v>66</v>
      </c>
      <c r="J10" s="174" t="s">
        <v>10</v>
      </c>
      <c r="K10" s="180" t="s">
        <v>88</v>
      </c>
      <c r="L10" s="181" t="s">
        <v>89</v>
      </c>
      <c r="M10" s="182" t="s">
        <v>90</v>
      </c>
      <c r="N10" s="183" t="s">
        <v>91</v>
      </c>
      <c r="O10" s="175" t="s">
        <v>92</v>
      </c>
      <c r="P10" s="177" t="s">
        <v>91</v>
      </c>
      <c r="Q10" s="177" t="s">
        <v>92</v>
      </c>
      <c r="R10" s="177" t="s">
        <v>64</v>
      </c>
      <c r="S10" s="175" t="s">
        <v>93</v>
      </c>
      <c r="T10" s="184" t="s">
        <v>94</v>
      </c>
      <c r="U10" s="185" t="s">
        <v>17</v>
      </c>
      <c r="V10" s="186" t="s">
        <v>95</v>
      </c>
      <c r="W10" s="187" t="s">
        <v>91</v>
      </c>
      <c r="X10" s="188" t="s">
        <v>95</v>
      </c>
      <c r="Y10" s="187" t="s">
        <v>91</v>
      </c>
      <c r="Z10" s="185" t="s">
        <v>68</v>
      </c>
      <c r="AA10" s="188" t="s">
        <v>70</v>
      </c>
      <c r="AB10" s="189" t="s">
        <v>96</v>
      </c>
      <c r="AC10" s="190" t="s">
        <v>97</v>
      </c>
      <c r="AD10" s="191" t="s">
        <v>97</v>
      </c>
      <c r="AE10" s="192" t="s">
        <v>68</v>
      </c>
      <c r="AF10" s="191" t="s">
        <v>70</v>
      </c>
      <c r="AG10" s="193" t="s">
        <v>98</v>
      </c>
      <c r="AH10" s="173" t="s">
        <v>96</v>
      </c>
      <c r="AI10" s="194" t="s">
        <v>99</v>
      </c>
      <c r="AJ10" s="173" t="s">
        <v>96</v>
      </c>
      <c r="AK10" s="194" t="s">
        <v>99</v>
      </c>
      <c r="AL10" s="195" t="s">
        <v>91</v>
      </c>
      <c r="AM10" s="196" t="s">
        <v>100</v>
      </c>
      <c r="AN10" s="197" t="s">
        <v>101</v>
      </c>
      <c r="AO10" s="197" t="s">
        <v>102</v>
      </c>
      <c r="AP10" s="198" t="s">
        <v>103</v>
      </c>
      <c r="AQ10" s="199" t="s">
        <v>98</v>
      </c>
      <c r="AR10" s="189" t="s">
        <v>96</v>
      </c>
      <c r="AS10" s="194" t="s">
        <v>99</v>
      </c>
      <c r="AT10" s="173" t="s">
        <v>96</v>
      </c>
      <c r="AU10" s="194" t="s">
        <v>99</v>
      </c>
      <c r="AV10" s="199" t="s">
        <v>100</v>
      </c>
      <c r="AW10" s="200" t="s">
        <v>101</v>
      </c>
      <c r="AX10" s="197" t="s">
        <v>102</v>
      </c>
      <c r="AY10" s="198" t="s">
        <v>103</v>
      </c>
      <c r="AZ10" s="201" t="s">
        <v>104</v>
      </c>
      <c r="BA10" s="200" t="s">
        <v>105</v>
      </c>
      <c r="BB10" s="197" t="s">
        <v>106</v>
      </c>
      <c r="BC10" s="200" t="s">
        <v>107</v>
      </c>
      <c r="BD10" s="201" t="s">
        <v>108</v>
      </c>
      <c r="BE10" s="202" t="s">
        <v>104</v>
      </c>
      <c r="BF10" s="200" t="s">
        <v>105</v>
      </c>
      <c r="BG10" s="200" t="s">
        <v>106</v>
      </c>
      <c r="BH10" s="201" t="s">
        <v>107</v>
      </c>
      <c r="BI10" s="200" t="s">
        <v>108</v>
      </c>
      <c r="BJ10" s="203" t="s">
        <v>109</v>
      </c>
      <c r="BK10" s="197" t="s">
        <v>109</v>
      </c>
      <c r="BL10" s="200" t="s">
        <v>109</v>
      </c>
      <c r="BM10" s="194" t="s">
        <v>110</v>
      </c>
      <c r="BN10" s="200" t="s">
        <v>109</v>
      </c>
      <c r="BO10" s="197" t="s">
        <v>109</v>
      </c>
      <c r="BP10" s="200" t="s">
        <v>109</v>
      </c>
      <c r="BQ10" s="198" t="s">
        <v>110</v>
      </c>
      <c r="BR10" s="197" t="s">
        <v>100</v>
      </c>
      <c r="BS10" s="199" t="s">
        <v>101</v>
      </c>
      <c r="BT10" s="199" t="s">
        <v>102</v>
      </c>
      <c r="BU10" s="199" t="s">
        <v>111</v>
      </c>
      <c r="BV10" s="204" t="s">
        <v>112</v>
      </c>
      <c r="BW10" s="197" t="s">
        <v>100</v>
      </c>
      <c r="BX10" s="199" t="s">
        <v>101</v>
      </c>
      <c r="BY10" s="199" t="s">
        <v>102</v>
      </c>
      <c r="BZ10" s="199" t="s">
        <v>103</v>
      </c>
      <c r="CA10" s="198" t="s">
        <v>112</v>
      </c>
      <c r="CB10" s="197" t="s">
        <v>113</v>
      </c>
      <c r="CC10" s="199" t="s">
        <v>114</v>
      </c>
      <c r="CD10" s="194" t="s">
        <v>115</v>
      </c>
      <c r="CE10" s="197" t="s">
        <v>113</v>
      </c>
      <c r="CF10" s="199" t="s">
        <v>114</v>
      </c>
      <c r="CG10" s="198" t="s">
        <v>115</v>
      </c>
      <c r="CH10" s="179" t="s">
        <v>96</v>
      </c>
      <c r="CI10" s="197" t="s">
        <v>99</v>
      </c>
      <c r="CJ10" s="205" t="s">
        <v>116</v>
      </c>
      <c r="CK10" s="205" t="s">
        <v>117</v>
      </c>
      <c r="CL10" s="205" t="s">
        <v>118</v>
      </c>
      <c r="CM10" s="206" t="s">
        <v>114</v>
      </c>
      <c r="CN10" s="206" t="s">
        <v>115</v>
      </c>
      <c r="CO10" s="207" t="s">
        <v>119</v>
      </c>
      <c r="CP10" s="199" t="s">
        <v>96</v>
      </c>
      <c r="CQ10" s="202" t="s">
        <v>99</v>
      </c>
      <c r="CR10" s="200" t="s">
        <v>116</v>
      </c>
      <c r="CS10" s="200" t="s">
        <v>120</v>
      </c>
      <c r="CT10" s="200" t="s">
        <v>118</v>
      </c>
      <c r="CU10" s="201" t="s">
        <v>114</v>
      </c>
      <c r="CV10" s="194" t="s">
        <v>115</v>
      </c>
      <c r="CW10" s="208" t="s">
        <v>119</v>
      </c>
    </row>
    <row r="11" spans="2:101" ht="12.75">
      <c r="B11" s="209">
        <v>40923</v>
      </c>
      <c r="C11" s="210" t="s">
        <v>121</v>
      </c>
      <c r="D11" s="211"/>
      <c r="E11" s="212"/>
      <c r="F11" s="213"/>
      <c r="G11" s="213"/>
      <c r="H11" s="214"/>
      <c r="I11" s="215"/>
      <c r="J11" s="216"/>
      <c r="K11" s="217"/>
      <c r="L11" s="218"/>
      <c r="M11" s="219"/>
      <c r="N11" s="93"/>
      <c r="O11" s="213"/>
      <c r="P11" s="213"/>
      <c r="Q11" s="213"/>
      <c r="R11" s="220"/>
      <c r="S11" s="221"/>
      <c r="T11" s="222"/>
      <c r="U11" s="151"/>
      <c r="V11" s="223">
        <v>31</v>
      </c>
      <c r="W11" s="224">
        <f>V11*$N$3+S32</f>
        <v>6231</v>
      </c>
      <c r="X11" s="225">
        <f>AH11+AJ11</f>
        <v>0</v>
      </c>
      <c r="Y11" s="226">
        <f>SUM(AI11,AK11,AL11)</f>
        <v>0</v>
      </c>
      <c r="Z11" s="151">
        <f>SUM(V$11:V11)</f>
        <v>31</v>
      </c>
      <c r="AA11" s="227">
        <f>CP11</f>
        <v>0</v>
      </c>
      <c r="AB11" s="151"/>
      <c r="AC11" s="228"/>
      <c r="AD11" s="229"/>
      <c r="AE11" s="230"/>
      <c r="AF11" s="231"/>
      <c r="AG11" s="232"/>
      <c r="AH11" s="233"/>
      <c r="AI11" s="234">
        <f>AH11*$N$3</f>
        <v>0</v>
      </c>
      <c r="AJ11" s="235"/>
      <c r="AK11" s="234">
        <f>AJ11*$N$2</f>
        <v>0</v>
      </c>
      <c r="AL11" s="236"/>
      <c r="AM11" s="237"/>
      <c r="AN11" s="238"/>
      <c r="AO11" s="238"/>
      <c r="AP11" s="239"/>
      <c r="AQ11" s="240">
        <f>SUM(AG$11:AG11)</f>
        <v>0</v>
      </c>
      <c r="AR11" s="241">
        <f>SUM(AH$11:AH11)</f>
        <v>0</v>
      </c>
      <c r="AS11" s="234">
        <f>SUM(AI$11:AI11)</f>
        <v>0</v>
      </c>
      <c r="AT11" s="233">
        <f>SUM(AJ$11:AJ11)</f>
        <v>0</v>
      </c>
      <c r="AU11" s="234">
        <f>SUM(AK$11:AK11)</f>
        <v>0</v>
      </c>
      <c r="AV11" s="242">
        <f>SUM(AM$11:AM11)</f>
        <v>0</v>
      </c>
      <c r="AW11" s="243">
        <f>SUM(AN$11:AN11)</f>
        <v>0</v>
      </c>
      <c r="AX11" s="238">
        <f>SUM(AO$11:AO11)</f>
        <v>0</v>
      </c>
      <c r="AY11" s="239">
        <f>SUM(AP$11:AP11)</f>
        <v>0</v>
      </c>
      <c r="AZ11" s="244"/>
      <c r="BA11" s="245"/>
      <c r="BB11" s="246"/>
      <c r="BC11" s="247">
        <f>0.1*(AI11+AK11+AL11-BB11)</f>
        <v>0</v>
      </c>
      <c r="BD11" s="244"/>
      <c r="BE11" s="248">
        <f>SUM(AZ$11:AZ11)</f>
        <v>0</v>
      </c>
      <c r="BF11" s="245">
        <f>SUM(BA$11:BA11)</f>
        <v>0</v>
      </c>
      <c r="BG11" s="245">
        <f>SUM(BB$11:BB11)</f>
        <v>0</v>
      </c>
      <c r="BH11" s="244">
        <f>SUM(BC$11:BC11)</f>
        <v>0</v>
      </c>
      <c r="BI11" s="245">
        <f>SUM(BD$11:BD11)</f>
        <v>0</v>
      </c>
      <c r="BJ11" s="249"/>
      <c r="BK11" s="238"/>
      <c r="BL11" s="243"/>
      <c r="BM11" s="250"/>
      <c r="BN11" s="243">
        <f>SUM(BJ$11:BJ11)</f>
        <v>0</v>
      </c>
      <c r="BO11" s="238">
        <f>SUM(BK$11:BK11)</f>
        <v>0</v>
      </c>
      <c r="BP11" s="243">
        <f>SUM(BL$11:BL11)</f>
        <v>0</v>
      </c>
      <c r="BQ11" s="239">
        <f>SUM(BM$11:BM11)</f>
        <v>0</v>
      </c>
      <c r="BR11" s="246">
        <f>AM11</f>
        <v>0</v>
      </c>
      <c r="BS11" s="251">
        <f>AN11</f>
        <v>0</v>
      </c>
      <c r="BT11" s="251">
        <f>AO11</f>
        <v>0</v>
      </c>
      <c r="BU11" s="251">
        <f>AP11</f>
        <v>0</v>
      </c>
      <c r="BV11" s="252">
        <f>(AI11+AK11+AL11)*0.0156</f>
        <v>0</v>
      </c>
      <c r="BW11" s="238">
        <f>SUM(BR$11:BR11)</f>
        <v>0</v>
      </c>
      <c r="BX11" s="238">
        <f>SUM(BS$11:BS11)</f>
        <v>0</v>
      </c>
      <c r="BY11" s="238">
        <f>SUM(BT$11:BT11)</f>
        <v>0</v>
      </c>
      <c r="BZ11" s="238">
        <f>SUM(BU$11:BU11)</f>
        <v>0</v>
      </c>
      <c r="CA11" s="239">
        <f>SUM(BV$11:BV11)</f>
        <v>0</v>
      </c>
      <c r="CB11" s="253">
        <f>BC11*0.5</f>
        <v>0</v>
      </c>
      <c r="CC11" s="254"/>
      <c r="CD11" s="255"/>
      <c r="CE11" s="238">
        <f>SUM(CB$11:CB11)</f>
        <v>0</v>
      </c>
      <c r="CF11" s="242">
        <f>SUM(CC$11:CC11)</f>
        <v>0</v>
      </c>
      <c r="CG11" s="239">
        <f>SUM(CD$11:CD11)</f>
        <v>0</v>
      </c>
      <c r="CH11" s="256">
        <f>AH11+AJ11</f>
        <v>0</v>
      </c>
      <c r="CI11" s="238">
        <f>AG11+AI11+AK11+AL11+AM11+AN11+AO11+AP11</f>
        <v>0</v>
      </c>
      <c r="CJ11" s="243">
        <f>SUM(AZ11:BD11)</f>
        <v>0</v>
      </c>
      <c r="CK11" s="243">
        <f>SUM(BJ11:BM11)</f>
        <v>0</v>
      </c>
      <c r="CL11" s="243">
        <f>SUM(BR11:BV11)</f>
        <v>0</v>
      </c>
      <c r="CM11" s="257">
        <f>CC11</f>
        <v>0</v>
      </c>
      <c r="CN11" s="257">
        <f>CD11</f>
        <v>0</v>
      </c>
      <c r="CO11" s="258">
        <f>CI11-CJ11-CK11-CL11+CM11+CN11</f>
        <v>0</v>
      </c>
      <c r="CP11" s="101">
        <f>SUM(CH$11:CH11)</f>
        <v>0</v>
      </c>
      <c r="CQ11" s="259">
        <f>SUM(CI$11:CI11)</f>
        <v>0</v>
      </c>
      <c r="CR11" s="243">
        <f>SUM(CJ$11:CJ11)</f>
        <v>0</v>
      </c>
      <c r="CS11" s="243">
        <f>SUM(CK$11:CK11)</f>
        <v>0</v>
      </c>
      <c r="CT11" s="243">
        <f>SUM(CL$11:CL11)</f>
        <v>0</v>
      </c>
      <c r="CU11" s="257">
        <f>SUM(CM$11:CM11)</f>
        <v>0</v>
      </c>
      <c r="CV11" s="234">
        <f>SUM(CN$11:CN11)</f>
        <v>0</v>
      </c>
      <c r="CW11" s="260">
        <f>SUM(CO$11:CO11)</f>
        <v>0</v>
      </c>
    </row>
    <row r="12" spans="2:101" ht="12.75">
      <c r="B12" s="209">
        <v>40939</v>
      </c>
      <c r="C12" s="261"/>
      <c r="D12" s="211"/>
      <c r="E12" s="212"/>
      <c r="F12" s="213"/>
      <c r="G12" s="213"/>
      <c r="H12" s="262"/>
      <c r="I12" s="215">
        <f>SUM(C11:G11)</f>
        <v>0</v>
      </c>
      <c r="J12" s="211"/>
      <c r="K12" s="263"/>
      <c r="L12" s="218"/>
      <c r="M12" s="219"/>
      <c r="N12" s="92">
        <f>C12+D12/2.85+E12+K12*3.65</f>
        <v>0</v>
      </c>
      <c r="O12" s="212">
        <f>J12/4.95+K12*3.65</f>
        <v>0</v>
      </c>
      <c r="P12" s="213">
        <f>F12+G12/2.85</f>
        <v>0</v>
      </c>
      <c r="Q12" s="213">
        <f>L12/4.95</f>
        <v>0</v>
      </c>
      <c r="R12" s="264">
        <f>IF(M12=1,2,(IF(M12=2,6,IF(M12=3,12,IF(M12&gt;3,12+12*(M12-3),0)))))</f>
        <v>0</v>
      </c>
      <c r="S12" s="265">
        <f>IF(H12&gt;0,150+(50*(ROUNDUP(H12,0)-4)),0)</f>
        <v>0</v>
      </c>
      <c r="T12" s="222">
        <f>MAX(N12:O12,62)+MAX(P12:Q12)+R12</f>
        <v>62</v>
      </c>
      <c r="U12" s="151">
        <f>MAX(N12:O12,62)</f>
        <v>62</v>
      </c>
      <c r="V12" s="223">
        <f>T12-31</f>
        <v>31</v>
      </c>
      <c r="W12" s="224">
        <f>V12*$N$3+S33</f>
        <v>6231</v>
      </c>
      <c r="X12" s="225">
        <f>AH12+AJ12</f>
        <v>0</v>
      </c>
      <c r="Y12" s="226">
        <f>SUM(AI12,AK12,AL12)</f>
        <v>0</v>
      </c>
      <c r="Z12" s="151">
        <f>SUM(V$11:V12)</f>
        <v>62</v>
      </c>
      <c r="AA12" s="227">
        <f>CP12</f>
        <v>0</v>
      </c>
      <c r="AB12" s="151"/>
      <c r="AC12" s="228">
        <f>AB12*2.4</f>
        <v>0</v>
      </c>
      <c r="AD12" s="229">
        <f>CC12+CD12</f>
        <v>0</v>
      </c>
      <c r="AE12" s="230">
        <f>SUM(AC$12:AC12)</f>
        <v>0</v>
      </c>
      <c r="AF12" s="231">
        <f>SUM(AD$12:AD12)</f>
        <v>0</v>
      </c>
      <c r="AG12" s="232"/>
      <c r="AH12" s="233"/>
      <c r="AI12" s="234">
        <f>AH12*$N$3</f>
        <v>0</v>
      </c>
      <c r="AJ12" s="235"/>
      <c r="AK12" s="255">
        <f>AJ12*$N$2</f>
        <v>0</v>
      </c>
      <c r="AL12" s="266"/>
      <c r="AM12" s="236"/>
      <c r="AN12" s="238"/>
      <c r="AO12" s="238"/>
      <c r="AP12" s="239"/>
      <c r="AQ12" s="240">
        <f>SUM(AG$11:AG12)</f>
        <v>0</v>
      </c>
      <c r="AR12" s="241">
        <f>SUM(AH$11:AH12)</f>
        <v>0</v>
      </c>
      <c r="AS12" s="234">
        <f>SUM(AI$11:AI12)</f>
        <v>0</v>
      </c>
      <c r="AT12" s="233">
        <f>SUM(AJ$11:AJ12)</f>
        <v>0</v>
      </c>
      <c r="AU12" s="234">
        <f>SUM(AK$11:AK12)</f>
        <v>0</v>
      </c>
      <c r="AV12" s="242">
        <f>SUM(AM$11:AM12)</f>
        <v>0</v>
      </c>
      <c r="AW12" s="243">
        <f>SUM(AN$11:AN12)</f>
        <v>0</v>
      </c>
      <c r="AX12" s="238">
        <f>SUM(AO$11:AO12)</f>
        <v>0</v>
      </c>
      <c r="AY12" s="239">
        <f>SUM(AP$11:AP12)</f>
        <v>0</v>
      </c>
      <c r="AZ12" s="244"/>
      <c r="BA12" s="245"/>
      <c r="BB12" s="246"/>
      <c r="BC12" s="247">
        <f>0.1*(AI12+AK12+AL12-BB12)</f>
        <v>0</v>
      </c>
      <c r="BD12" s="244"/>
      <c r="BE12" s="248">
        <f>SUM(AZ$11:AZ12)</f>
        <v>0</v>
      </c>
      <c r="BF12" s="245">
        <f>SUM(BA$11:BA12)</f>
        <v>0</v>
      </c>
      <c r="BG12" s="245">
        <f>SUM(BB$11:BB12)</f>
        <v>0</v>
      </c>
      <c r="BH12" s="244">
        <f>SUM(BC$11:BC12)</f>
        <v>0</v>
      </c>
      <c r="BI12" s="245">
        <f>SUM(BD$11:BD12)</f>
        <v>0</v>
      </c>
      <c r="BJ12" s="249"/>
      <c r="BK12" s="238"/>
      <c r="BL12" s="243"/>
      <c r="BM12" s="250"/>
      <c r="BN12" s="243">
        <f>SUM(BJ$11:BJ12)</f>
        <v>0</v>
      </c>
      <c r="BO12" s="238">
        <f>SUM(BK$11:BK12)</f>
        <v>0</v>
      </c>
      <c r="BP12" s="243">
        <f>SUM(BL$11:BL12)</f>
        <v>0</v>
      </c>
      <c r="BQ12" s="239">
        <f>SUM(BM$11:BM12)</f>
        <v>0</v>
      </c>
      <c r="BR12" s="246">
        <f>AM12</f>
        <v>0</v>
      </c>
      <c r="BS12" s="251">
        <f>AN12</f>
        <v>0</v>
      </c>
      <c r="BT12" s="251">
        <f>AO12</f>
        <v>0</v>
      </c>
      <c r="BU12" s="251">
        <f>AP12</f>
        <v>0</v>
      </c>
      <c r="BV12" s="252">
        <f>(AI12+AK12+AL12)*0.0156</f>
        <v>0</v>
      </c>
      <c r="BW12" s="238">
        <f>SUM(BR$11:BR12)</f>
        <v>0</v>
      </c>
      <c r="BX12" s="238">
        <f>SUM(BS$11:BS12)</f>
        <v>0</v>
      </c>
      <c r="BY12" s="238">
        <f>SUM(BT$11:BT12)</f>
        <v>0</v>
      </c>
      <c r="BZ12" s="238">
        <f>SUM(BU$11:BU12)</f>
        <v>0</v>
      </c>
      <c r="CA12" s="239">
        <f>SUM(BV$11:BV12)</f>
        <v>0</v>
      </c>
      <c r="CB12" s="253">
        <f>BC12*0.5</f>
        <v>0</v>
      </c>
      <c r="CC12" s="254"/>
      <c r="CD12" s="255"/>
      <c r="CE12" s="238">
        <f>SUM(CB$11:CB12)</f>
        <v>0</v>
      </c>
      <c r="CF12" s="242">
        <f>SUM(CC$11:CC12)</f>
        <v>0</v>
      </c>
      <c r="CG12" s="239">
        <f>SUM(CD$11:CD12)</f>
        <v>0</v>
      </c>
      <c r="CH12" s="256">
        <f>AH12+AJ12</f>
        <v>0</v>
      </c>
      <c r="CI12" s="238">
        <f>AG12+AI12+AK12+AL12+AM12+AN12+AO12+AP12</f>
        <v>0</v>
      </c>
      <c r="CJ12" s="243">
        <f>SUM(AZ12:BD12)</f>
        <v>0</v>
      </c>
      <c r="CK12" s="243">
        <f>SUM(BJ12:BM12)</f>
        <v>0</v>
      </c>
      <c r="CL12" s="243">
        <f>SUM(BR12:BV12)</f>
        <v>0</v>
      </c>
      <c r="CM12" s="257">
        <f>CC12</f>
        <v>0</v>
      </c>
      <c r="CN12" s="257">
        <f>CD12</f>
        <v>0</v>
      </c>
      <c r="CO12" s="258">
        <f>CI12-CJ12-CK12-CL12+CM12+CN12</f>
        <v>0</v>
      </c>
      <c r="CP12" s="101">
        <f>SUM(CH$11:CH12)</f>
        <v>0</v>
      </c>
      <c r="CQ12" s="259">
        <f>SUM(CI$11:CI12)</f>
        <v>0</v>
      </c>
      <c r="CR12" s="243">
        <f>SUM(CJ$11:CJ12)</f>
        <v>0</v>
      </c>
      <c r="CS12" s="243">
        <f>SUM(CK$11:CK12)</f>
        <v>0</v>
      </c>
      <c r="CT12" s="243">
        <f>SUM(CL$11:CL12)</f>
        <v>0</v>
      </c>
      <c r="CU12" s="257">
        <f>SUM(CM$11:CM12)</f>
        <v>0</v>
      </c>
      <c r="CV12" s="234">
        <f>SUM(CN$11:CN12)</f>
        <v>0</v>
      </c>
      <c r="CW12" s="260">
        <f>SUM(CO$11:CO12)</f>
        <v>0</v>
      </c>
    </row>
    <row r="13" spans="2:101" ht="12.75">
      <c r="B13" s="209">
        <v>40954</v>
      </c>
      <c r="C13" s="210" t="s">
        <v>122</v>
      </c>
      <c r="D13" s="211"/>
      <c r="E13" s="211"/>
      <c r="F13" s="216"/>
      <c r="G13" s="216"/>
      <c r="H13" s="214"/>
      <c r="I13" s="215"/>
      <c r="J13" s="216"/>
      <c r="K13" s="217"/>
      <c r="L13" s="218"/>
      <c r="M13" s="267"/>
      <c r="N13" s="93"/>
      <c r="O13" s="213"/>
      <c r="P13" s="213"/>
      <c r="Q13" s="213"/>
      <c r="R13" s="264"/>
      <c r="S13" s="221"/>
      <c r="T13" s="222"/>
      <c r="U13" s="151"/>
      <c r="V13" s="223">
        <v>31</v>
      </c>
      <c r="W13" s="224">
        <f>V13*$N$3+S34</f>
        <v>6231</v>
      </c>
      <c r="X13" s="225">
        <f>AH13+AJ13</f>
        <v>0</v>
      </c>
      <c r="Y13" s="226">
        <f>SUM(AI13,AK13,AL13)</f>
        <v>0</v>
      </c>
      <c r="Z13" s="151">
        <f>SUM(V$11:V13)</f>
        <v>93</v>
      </c>
      <c r="AA13" s="227">
        <f>CP13</f>
        <v>0</v>
      </c>
      <c r="AB13" s="151"/>
      <c r="AC13" s="228"/>
      <c r="AD13" s="229"/>
      <c r="AE13" s="230"/>
      <c r="AF13" s="231">
        <f>SUM(AD$12:AD13)</f>
        <v>0</v>
      </c>
      <c r="AG13" s="232"/>
      <c r="AH13" s="233"/>
      <c r="AI13" s="234">
        <f>AH13*$N$3</f>
        <v>0</v>
      </c>
      <c r="AJ13" s="235"/>
      <c r="AK13" s="255">
        <f>AJ13*$N$2</f>
        <v>0</v>
      </c>
      <c r="AL13" s="236"/>
      <c r="AM13" s="236"/>
      <c r="AN13" s="238"/>
      <c r="AO13" s="238"/>
      <c r="AP13" s="239"/>
      <c r="AQ13" s="240">
        <f>SUM(AG$11:AG13)</f>
        <v>0</v>
      </c>
      <c r="AR13" s="241">
        <f>SUM(AH$11:AH13)</f>
        <v>0</v>
      </c>
      <c r="AS13" s="234">
        <f>SUM(AI$11:AI13)</f>
        <v>0</v>
      </c>
      <c r="AT13" s="233">
        <f>SUM(AJ$11:AJ13)</f>
        <v>0</v>
      </c>
      <c r="AU13" s="234">
        <f>SUM(AK$11:AK13)</f>
        <v>0</v>
      </c>
      <c r="AV13" s="242">
        <f>SUM(AM$11:AM13)</f>
        <v>0</v>
      </c>
      <c r="AW13" s="243">
        <f>SUM(AN$11:AN13)</f>
        <v>0</v>
      </c>
      <c r="AX13" s="238">
        <f>SUM(AO$11:AO13)</f>
        <v>0</v>
      </c>
      <c r="AY13" s="239">
        <f>SUM(AP$11:AP13)</f>
        <v>0</v>
      </c>
      <c r="AZ13" s="244"/>
      <c r="BA13" s="245"/>
      <c r="BB13" s="246"/>
      <c r="BC13" s="247">
        <f>0.1*(AI13+AK13+AL13-BB13)</f>
        <v>0</v>
      </c>
      <c r="BD13" s="244"/>
      <c r="BE13" s="248">
        <f>SUM(AZ$11:AZ13)</f>
        <v>0</v>
      </c>
      <c r="BF13" s="245">
        <f>SUM(BA$11:BA13)</f>
        <v>0</v>
      </c>
      <c r="BG13" s="245">
        <f>SUM(BB$11:BB13)</f>
        <v>0</v>
      </c>
      <c r="BH13" s="244">
        <f>SUM(BC$11:BC13)</f>
        <v>0</v>
      </c>
      <c r="BI13" s="245">
        <f>SUM(BD$11:BD13)</f>
        <v>0</v>
      </c>
      <c r="BJ13" s="249"/>
      <c r="BK13" s="238"/>
      <c r="BL13" s="243"/>
      <c r="BM13" s="250"/>
      <c r="BN13" s="243">
        <f>SUM(BJ$11:BJ13)</f>
        <v>0</v>
      </c>
      <c r="BO13" s="238">
        <f>SUM(BK$11:BK13)</f>
        <v>0</v>
      </c>
      <c r="BP13" s="243">
        <f>SUM(BL$11:BL13)</f>
        <v>0</v>
      </c>
      <c r="BQ13" s="239">
        <f>SUM(BM$11:BM13)</f>
        <v>0</v>
      </c>
      <c r="BR13" s="246">
        <f>AM13</f>
        <v>0</v>
      </c>
      <c r="BS13" s="251">
        <f>AN13</f>
        <v>0</v>
      </c>
      <c r="BT13" s="251">
        <f>AO13</f>
        <v>0</v>
      </c>
      <c r="BU13" s="251">
        <f>AP13</f>
        <v>0</v>
      </c>
      <c r="BV13" s="252">
        <f>(AI13+AK13+AL13)*0.0156</f>
        <v>0</v>
      </c>
      <c r="BW13" s="238">
        <f>SUM(BR$11:BR13)</f>
        <v>0</v>
      </c>
      <c r="BX13" s="238">
        <f>SUM(BS$11:BS13)</f>
        <v>0</v>
      </c>
      <c r="BY13" s="238">
        <f>SUM(BT$11:BT13)</f>
        <v>0</v>
      </c>
      <c r="BZ13" s="238">
        <f>SUM(BU$11:BU13)</f>
        <v>0</v>
      </c>
      <c r="CA13" s="239">
        <f>SUM(BV$11:BV13)</f>
        <v>0</v>
      </c>
      <c r="CB13" s="253">
        <f>BC13*0.5</f>
        <v>0</v>
      </c>
      <c r="CC13" s="254"/>
      <c r="CD13" s="255"/>
      <c r="CE13" s="238">
        <f>SUM(CB$11:CB13)</f>
        <v>0</v>
      </c>
      <c r="CF13" s="242">
        <f>SUM(CC$11:CC13)</f>
        <v>0</v>
      </c>
      <c r="CG13" s="239">
        <f>SUM(CD$11:CD13)</f>
        <v>0</v>
      </c>
      <c r="CH13" s="256">
        <f>AH13+AJ13</f>
        <v>0</v>
      </c>
      <c r="CI13" s="238">
        <f>AG13+AI13+AK13+AL13+AM13+AN13+AO13+AP13</f>
        <v>0</v>
      </c>
      <c r="CJ13" s="243">
        <f>SUM(AZ13:BD13)</f>
        <v>0</v>
      </c>
      <c r="CK13" s="243">
        <f>SUM(BJ13:BM13)</f>
        <v>0</v>
      </c>
      <c r="CL13" s="243">
        <f>SUM(BR13:BV13)</f>
        <v>0</v>
      </c>
      <c r="CM13" s="257">
        <f>CC13</f>
        <v>0</v>
      </c>
      <c r="CN13" s="257">
        <f>CD13</f>
        <v>0</v>
      </c>
      <c r="CO13" s="258">
        <f>CI13-CJ13-CK13-CL13+CM13+CN13</f>
        <v>0</v>
      </c>
      <c r="CP13" s="101">
        <f>SUM(CH$11:CH13)</f>
        <v>0</v>
      </c>
      <c r="CQ13" s="259">
        <f>SUM(CI$11:CI13)</f>
        <v>0</v>
      </c>
      <c r="CR13" s="243">
        <f>SUM(CJ$11:CJ13)</f>
        <v>0</v>
      </c>
      <c r="CS13" s="243">
        <f>SUM(CK$11:CK13)</f>
        <v>0</v>
      </c>
      <c r="CT13" s="243">
        <f>SUM(CL$11:CL13)</f>
        <v>0</v>
      </c>
      <c r="CU13" s="257">
        <f>SUM(CM$11:CM13)</f>
        <v>0</v>
      </c>
      <c r="CV13" s="234">
        <f>SUM(CN$11:CN13)</f>
        <v>0</v>
      </c>
      <c r="CW13" s="260">
        <f>SUM(CO$11:CO13)</f>
        <v>0</v>
      </c>
    </row>
    <row r="14" spans="2:101" ht="12.75">
      <c r="B14" s="209">
        <v>40967</v>
      </c>
      <c r="C14" s="261"/>
      <c r="D14" s="211"/>
      <c r="E14" s="212"/>
      <c r="F14" s="213"/>
      <c r="G14" s="213"/>
      <c r="H14" s="268"/>
      <c r="I14" s="215">
        <f>SUM(C14:G14)+K14</f>
        <v>0</v>
      </c>
      <c r="J14" s="269"/>
      <c r="K14" s="270"/>
      <c r="L14" s="218"/>
      <c r="M14" s="271"/>
      <c r="N14" s="272">
        <f>C14+D14/2.85+E14+K14*3.65</f>
        <v>0</v>
      </c>
      <c r="O14" s="273">
        <f>J14/4.95+K14*3.65</f>
        <v>0</v>
      </c>
      <c r="P14" s="213">
        <f>F14+G14/2.85</f>
        <v>0</v>
      </c>
      <c r="Q14" s="213">
        <f>L14/4.95</f>
        <v>0</v>
      </c>
      <c r="R14" s="264">
        <f>IF(M14=1,2,(IF(M14=2,6,IF(M14=3,12,IF(M14&gt;3,12+12*(M14-3),0)))))</f>
        <v>0</v>
      </c>
      <c r="S14" s="274">
        <f>IF(H14&gt;0,150+(50*(ROUNDUP(H14,0)-4)),0)</f>
        <v>0</v>
      </c>
      <c r="T14" s="222">
        <f>MAX(N14:O14,62)+MAX(P14:Q14)+R14</f>
        <v>62</v>
      </c>
      <c r="U14" s="151">
        <f>MAX(N14:O14,62)</f>
        <v>62</v>
      </c>
      <c r="V14" s="223">
        <f>T14-31</f>
        <v>31</v>
      </c>
      <c r="W14" s="224">
        <f>V14*$N$3+S35</f>
        <v>6231</v>
      </c>
      <c r="X14" s="225">
        <f>AH14+AJ14</f>
        <v>0</v>
      </c>
      <c r="Y14" s="226">
        <f>SUM(AI14,AK14,AL14)</f>
        <v>0</v>
      </c>
      <c r="Z14" s="151">
        <f>SUM(V$11:V14)</f>
        <v>124</v>
      </c>
      <c r="AA14" s="227">
        <f>CP14</f>
        <v>0</v>
      </c>
      <c r="AB14" s="151"/>
      <c r="AC14" s="228">
        <f>AB14*2.4</f>
        <v>0</v>
      </c>
      <c r="AD14" s="229">
        <f>CC14+CD14</f>
        <v>0</v>
      </c>
      <c r="AE14" s="230">
        <f>SUM(AC$12:AC14)</f>
        <v>0</v>
      </c>
      <c r="AF14" s="231">
        <f>SUM(AD$12:AD14)</f>
        <v>0</v>
      </c>
      <c r="AG14" s="232"/>
      <c r="AH14" s="233"/>
      <c r="AI14" s="234">
        <f>AH14*$N$3</f>
        <v>0</v>
      </c>
      <c r="AJ14" s="235"/>
      <c r="AK14" s="255">
        <f>AJ14*$N$2</f>
        <v>0</v>
      </c>
      <c r="AL14" s="275"/>
      <c r="AM14" s="236"/>
      <c r="AN14" s="238"/>
      <c r="AO14" s="238"/>
      <c r="AP14" s="239"/>
      <c r="AQ14" s="240">
        <f>SUM(AG$11:AG14)</f>
        <v>0</v>
      </c>
      <c r="AR14" s="241">
        <f>SUM(AH$11:AH14)</f>
        <v>0</v>
      </c>
      <c r="AS14" s="234">
        <f>SUM(AI$11:AI14)</f>
        <v>0</v>
      </c>
      <c r="AT14" s="233">
        <f>SUM(AJ$11:AJ14)</f>
        <v>0</v>
      </c>
      <c r="AU14" s="234">
        <f>SUM(AK$11:AK14)</f>
        <v>0</v>
      </c>
      <c r="AV14" s="242">
        <f>SUM(AM$11:AM14)</f>
        <v>0</v>
      </c>
      <c r="AW14" s="243">
        <f>SUM(AN$11:AN14)</f>
        <v>0</v>
      </c>
      <c r="AX14" s="238">
        <f>SUM(AO$11:AO14)</f>
        <v>0</v>
      </c>
      <c r="AY14" s="239">
        <f>SUM(AP$11:AP14)</f>
        <v>0</v>
      </c>
      <c r="AZ14" s="244"/>
      <c r="BA14" s="245"/>
      <c r="BB14" s="246"/>
      <c r="BC14" s="247">
        <f>0.1*(AI14+AK14+AL14-BB14)</f>
        <v>0</v>
      </c>
      <c r="BD14" s="244"/>
      <c r="BE14" s="248">
        <f>SUM(AZ$11:AZ14)</f>
        <v>0</v>
      </c>
      <c r="BF14" s="245">
        <f>SUM(BA$11:BA14)</f>
        <v>0</v>
      </c>
      <c r="BG14" s="245">
        <f>SUM(BB$11:BB14)</f>
        <v>0</v>
      </c>
      <c r="BH14" s="244">
        <f>SUM(BC$11:BC14)</f>
        <v>0</v>
      </c>
      <c r="BI14" s="245">
        <f>SUM(BD$11:BD14)</f>
        <v>0</v>
      </c>
      <c r="BJ14" s="249"/>
      <c r="BK14" s="238"/>
      <c r="BL14" s="243"/>
      <c r="BM14" s="250"/>
      <c r="BN14" s="243">
        <f>SUM(BJ$11:BJ14)</f>
        <v>0</v>
      </c>
      <c r="BO14" s="238">
        <f>SUM(BK$11:BK14)</f>
        <v>0</v>
      </c>
      <c r="BP14" s="243">
        <f>SUM(BL$11:BL14)</f>
        <v>0</v>
      </c>
      <c r="BQ14" s="239">
        <f>SUM(BM$11:BM14)</f>
        <v>0</v>
      </c>
      <c r="BR14" s="246">
        <f>AM14</f>
        <v>0</v>
      </c>
      <c r="BS14" s="251">
        <f>AN14</f>
        <v>0</v>
      </c>
      <c r="BT14" s="251">
        <f>AO14</f>
        <v>0</v>
      </c>
      <c r="BU14" s="251">
        <f>AP14</f>
        <v>0</v>
      </c>
      <c r="BV14" s="252">
        <f>(AI14+AK14+AL14)*0.0156</f>
        <v>0</v>
      </c>
      <c r="BW14" s="238">
        <f>SUM(BR$11:BR14)</f>
        <v>0</v>
      </c>
      <c r="BX14" s="238">
        <f>SUM(BS$11:BS14)</f>
        <v>0</v>
      </c>
      <c r="BY14" s="238">
        <f>SUM(BT$11:BT14)</f>
        <v>0</v>
      </c>
      <c r="BZ14" s="238">
        <f>SUM(BU$11:BU14)</f>
        <v>0</v>
      </c>
      <c r="CA14" s="239">
        <f>SUM(BV$11:BV14)</f>
        <v>0</v>
      </c>
      <c r="CB14" s="253">
        <f>BC14*0.5</f>
        <v>0</v>
      </c>
      <c r="CC14" s="254"/>
      <c r="CD14" s="255"/>
      <c r="CE14" s="238">
        <f>SUM(CB$11:CB14)</f>
        <v>0</v>
      </c>
      <c r="CF14" s="242">
        <f>SUM(CC$11:CC14)</f>
        <v>0</v>
      </c>
      <c r="CG14" s="239">
        <f>SUM(CD$11:CD14)</f>
        <v>0</v>
      </c>
      <c r="CH14" s="256">
        <f>AH14+AJ14</f>
        <v>0</v>
      </c>
      <c r="CI14" s="238">
        <f>AG14+AI14+AK14+AL14+AM14+AN14+AO14+AP14</f>
        <v>0</v>
      </c>
      <c r="CJ14" s="243">
        <f>SUM(AZ14:BD14)</f>
        <v>0</v>
      </c>
      <c r="CK14" s="243">
        <f>SUM(BJ14:BM14)</f>
        <v>0</v>
      </c>
      <c r="CL14" s="243">
        <f>SUM(BR14:BV14)</f>
        <v>0</v>
      </c>
      <c r="CM14" s="257">
        <f>CC14</f>
        <v>0</v>
      </c>
      <c r="CN14" s="257">
        <f>CD14</f>
        <v>0</v>
      </c>
      <c r="CO14" s="258">
        <f>CI14-CJ14-CK14-CL14+CM14+CN14</f>
        <v>0</v>
      </c>
      <c r="CP14" s="101">
        <f>SUM(CH$11:CH14)</f>
        <v>0</v>
      </c>
      <c r="CQ14" s="259">
        <f>SUM(CI$11:CI14)</f>
        <v>0</v>
      </c>
      <c r="CR14" s="243">
        <f>SUM(CJ$11:CJ14)</f>
        <v>0</v>
      </c>
      <c r="CS14" s="243">
        <f>SUM(CK$11:CK14)</f>
        <v>0</v>
      </c>
      <c r="CT14" s="243">
        <f>SUM(CL$11:CL14)</f>
        <v>0</v>
      </c>
      <c r="CU14" s="257">
        <f>SUM(CM$11:CM14)</f>
        <v>0</v>
      </c>
      <c r="CV14" s="234">
        <f>SUM(CN$11:CN14)</f>
        <v>0</v>
      </c>
      <c r="CW14" s="260">
        <f>SUM(CO$11:CO14)</f>
        <v>0</v>
      </c>
    </row>
    <row r="15" spans="2:101" ht="12.75">
      <c r="B15" s="276">
        <v>40983</v>
      </c>
      <c r="C15" s="277"/>
      <c r="D15" s="278" t="s">
        <v>123</v>
      </c>
      <c r="E15" s="279"/>
      <c r="F15" s="280"/>
      <c r="G15" s="280"/>
      <c r="H15" s="281"/>
      <c r="I15" s="282"/>
      <c r="J15" s="283"/>
      <c r="K15" s="283"/>
      <c r="L15" s="284"/>
      <c r="M15" s="285"/>
      <c r="N15" s="279"/>
      <c r="O15" s="286"/>
      <c r="P15" s="287"/>
      <c r="Q15" s="287"/>
      <c r="R15" s="287"/>
      <c r="S15" s="286"/>
      <c r="T15" s="288"/>
      <c r="U15" s="289"/>
      <c r="V15" s="290"/>
      <c r="W15" s="291"/>
      <c r="X15" s="292"/>
      <c r="Y15" s="293"/>
      <c r="Z15" s="289"/>
      <c r="AA15" s="294"/>
      <c r="AB15" s="289"/>
      <c r="AC15" s="295"/>
      <c r="AD15" s="296"/>
      <c r="AE15" s="297"/>
      <c r="AF15" s="298"/>
      <c r="AG15" s="299"/>
      <c r="AH15" s="300"/>
      <c r="AI15" s="301"/>
      <c r="AJ15" s="302"/>
      <c r="AK15" s="303"/>
      <c r="AL15" s="304"/>
      <c r="AM15" s="305"/>
      <c r="AN15" s="306"/>
      <c r="AO15" s="306"/>
      <c r="AP15" s="307"/>
      <c r="AQ15" s="308">
        <f>SUM(AG$11:AG15)</f>
        <v>0</v>
      </c>
      <c r="AR15" s="309">
        <f>SUM(AH$11:AH15)</f>
        <v>0</v>
      </c>
      <c r="AS15" s="304">
        <f>SUM(AI$11:AI15)</f>
        <v>0</v>
      </c>
      <c r="AT15" s="300">
        <f>SUM(AJ$11:AJ15)</f>
        <v>0</v>
      </c>
      <c r="AU15" s="304">
        <f>SUM(AK$11:AK15)</f>
        <v>0</v>
      </c>
      <c r="AV15" s="310">
        <f>SUM(AM$11:AM15)</f>
        <v>0</v>
      </c>
      <c r="AW15" s="311">
        <f>SUM(AN$11:AN15)</f>
        <v>0</v>
      </c>
      <c r="AX15" s="306">
        <f>SUM(AO$11:AO15)</f>
        <v>0</v>
      </c>
      <c r="AY15" s="307">
        <f>SUM(AP$11:AP15)</f>
        <v>0</v>
      </c>
      <c r="AZ15" s="312"/>
      <c r="BA15" s="313"/>
      <c r="BB15" s="314"/>
      <c r="BC15" s="315">
        <f>0.1*(AI15+AK15+AL15-BB15)</f>
        <v>0</v>
      </c>
      <c r="BD15" s="312"/>
      <c r="BE15" s="248">
        <f>SUM(AZ$11:AZ15)</f>
        <v>0</v>
      </c>
      <c r="BF15" s="313">
        <f>SUM(BA$11:BA15)</f>
        <v>0</v>
      </c>
      <c r="BG15" s="313">
        <f>SUM(BB$11:BB15)</f>
        <v>0</v>
      </c>
      <c r="BH15" s="312">
        <f>SUM(BC$11:BC15)</f>
        <v>0</v>
      </c>
      <c r="BI15" s="313">
        <f>SUM(BD$11:BD15)</f>
        <v>0</v>
      </c>
      <c r="BJ15" s="316"/>
      <c r="BK15" s="306"/>
      <c r="BL15" s="311"/>
      <c r="BM15" s="317"/>
      <c r="BN15" s="311">
        <f>SUM(BJ$11:BJ15)</f>
        <v>0</v>
      </c>
      <c r="BO15" s="306">
        <f>SUM(BK$11:BK15)</f>
        <v>0</v>
      </c>
      <c r="BP15" s="311">
        <f>SUM(BL$11:BL15)</f>
        <v>0</v>
      </c>
      <c r="BQ15" s="307">
        <f>SUM(BM$11:BM15)</f>
        <v>0</v>
      </c>
      <c r="BR15" s="314">
        <f>AM15</f>
        <v>0</v>
      </c>
      <c r="BS15" s="318">
        <f>AN15</f>
        <v>0</v>
      </c>
      <c r="BT15" s="318">
        <f>AO15</f>
        <v>0</v>
      </c>
      <c r="BU15" s="318">
        <f>AP15</f>
        <v>0</v>
      </c>
      <c r="BV15" s="319">
        <f>(AI15+AK15+AL15)*0.0156</f>
        <v>0</v>
      </c>
      <c r="BW15" s="306">
        <f>SUM(BR$11:BR15)</f>
        <v>0</v>
      </c>
      <c r="BX15" s="306">
        <f>SUM(BS$11:BS15)</f>
        <v>0</v>
      </c>
      <c r="BY15" s="306">
        <f>SUM(BT$11:BT15)</f>
        <v>0</v>
      </c>
      <c r="BZ15" s="306">
        <f>SUM(BU$11:BU15)</f>
        <v>0</v>
      </c>
      <c r="CA15" s="307">
        <f>SUM(BV$11:BV15)</f>
        <v>0</v>
      </c>
      <c r="CB15" s="320">
        <f>BC15*0.5</f>
        <v>0</v>
      </c>
      <c r="CC15" s="321"/>
      <c r="CD15" s="303"/>
      <c r="CE15" s="306">
        <f>SUM(CB$11:CB15)</f>
        <v>0</v>
      </c>
      <c r="CF15" s="310">
        <f>SUM(CC$11:CC15)</f>
        <v>0</v>
      </c>
      <c r="CG15" s="307">
        <f>SUM(CD$11:CD15)</f>
        <v>0</v>
      </c>
      <c r="CH15" s="322">
        <f>AH15+AJ15</f>
        <v>0</v>
      </c>
      <c r="CI15" s="306">
        <f>AG15+AI15+AK15+AL15+AM15+AN15+AO15+AP15</f>
        <v>0</v>
      </c>
      <c r="CJ15" s="311">
        <f>SUM(AZ15:BD15)</f>
        <v>0</v>
      </c>
      <c r="CK15" s="311">
        <f>SUM(BJ15:BM15)</f>
        <v>0</v>
      </c>
      <c r="CL15" s="311">
        <f>SUM(BR15:BV15)</f>
        <v>0</v>
      </c>
      <c r="CM15" s="323">
        <f>CC15</f>
        <v>0</v>
      </c>
      <c r="CN15" s="323">
        <f>CD15</f>
        <v>0</v>
      </c>
      <c r="CO15" s="324">
        <f>CI15-CJ15-CK15-CL15+CM15+CN15</f>
        <v>0</v>
      </c>
      <c r="CP15" s="325">
        <f>SUM(CH$11:CH15)</f>
        <v>0</v>
      </c>
      <c r="CQ15" s="326">
        <f>SUM(CI$11:CI15)</f>
        <v>0</v>
      </c>
      <c r="CR15" s="311">
        <f>SUM(CJ$11:CJ15)</f>
        <v>0</v>
      </c>
      <c r="CS15" s="311">
        <f>SUM(CK$11:CK15)</f>
        <v>0</v>
      </c>
      <c r="CT15" s="311">
        <f>SUM(CL$11:CL15)</f>
        <v>0</v>
      </c>
      <c r="CU15" s="323">
        <f>SUM(CM$11:CM15)</f>
        <v>0</v>
      </c>
      <c r="CV15" s="304">
        <f>SUM(CN$11:CN15)</f>
        <v>0</v>
      </c>
      <c r="CW15" s="327">
        <f>SUM(CO$11:CO15)</f>
        <v>0</v>
      </c>
    </row>
    <row r="16" spans="2:101" ht="12.75">
      <c r="B16" s="209">
        <v>40983</v>
      </c>
      <c r="C16" s="210" t="s">
        <v>124</v>
      </c>
      <c r="D16" s="211"/>
      <c r="E16" s="212"/>
      <c r="F16" s="213"/>
      <c r="G16" s="216"/>
      <c r="H16" s="214"/>
      <c r="I16" s="215"/>
      <c r="J16" s="328"/>
      <c r="K16" s="329" t="s">
        <v>125</v>
      </c>
      <c r="L16" s="330"/>
      <c r="M16" s="271"/>
      <c r="N16" s="331"/>
      <c r="O16" s="332"/>
      <c r="P16" s="333"/>
      <c r="Q16" s="333"/>
      <c r="R16" s="334"/>
      <c r="S16" s="335"/>
      <c r="T16" s="222"/>
      <c r="U16" s="151"/>
      <c r="V16" s="223">
        <v>31</v>
      </c>
      <c r="W16" s="224">
        <f>V16*$N$2+S37</f>
        <v>0</v>
      </c>
      <c r="X16" s="225">
        <f>AH16+AJ16</f>
        <v>0</v>
      </c>
      <c r="Y16" s="226">
        <f>AI16+AK16</f>
        <v>0</v>
      </c>
      <c r="Z16" s="151">
        <f>SUM(V$11:V16)</f>
        <v>155</v>
      </c>
      <c r="AA16" s="227">
        <f>CP16</f>
        <v>0</v>
      </c>
      <c r="AB16" s="151"/>
      <c r="AC16" s="228"/>
      <c r="AD16" s="229"/>
      <c r="AE16" s="230"/>
      <c r="AF16" s="231"/>
      <c r="AG16" s="232"/>
      <c r="AH16" s="233"/>
      <c r="AI16" s="234">
        <f>AH16*$N$2</f>
        <v>0</v>
      </c>
      <c r="AJ16" s="235"/>
      <c r="AK16" s="255">
        <f>AJ16*$N$2</f>
        <v>0</v>
      </c>
      <c r="AL16" s="236"/>
      <c r="AM16" s="236"/>
      <c r="AN16" s="238"/>
      <c r="AO16" s="238"/>
      <c r="AP16" s="239"/>
      <c r="AQ16" s="240">
        <f>SUM(AG$11:AG16)</f>
        <v>0</v>
      </c>
      <c r="AR16" s="241">
        <f>SUM(AH$11:AH16)</f>
        <v>0</v>
      </c>
      <c r="AS16" s="234">
        <f>SUM(AI$11:AI16)</f>
        <v>0</v>
      </c>
      <c r="AT16" s="233">
        <f>SUM(AJ$11:AJ16)</f>
        <v>0</v>
      </c>
      <c r="AU16" s="234">
        <f>SUM(AK$11:AK16)</f>
        <v>0</v>
      </c>
      <c r="AV16" s="242">
        <f>SUM(AM$11:AM16)</f>
        <v>0</v>
      </c>
      <c r="AW16" s="243">
        <f>SUM(AN$11:AN16)</f>
        <v>0</v>
      </c>
      <c r="AX16" s="238">
        <f>SUM(AO$11:AO16)</f>
        <v>0</v>
      </c>
      <c r="AY16" s="239">
        <f>SUM(AP$11:AP16)</f>
        <v>0</v>
      </c>
      <c r="AZ16" s="244"/>
      <c r="BA16" s="245"/>
      <c r="BB16" s="246"/>
      <c r="BC16" s="247">
        <f>0.1*(AI16+AK16+AL16-BB16)</f>
        <v>0</v>
      </c>
      <c r="BD16" s="244"/>
      <c r="BE16" s="248">
        <f>SUM(AZ$11:AZ16)</f>
        <v>0</v>
      </c>
      <c r="BF16" s="245">
        <f>SUM(BA$11:BA16)</f>
        <v>0</v>
      </c>
      <c r="BG16" s="245">
        <f>SUM(BB$11:BB16)</f>
        <v>0</v>
      </c>
      <c r="BH16" s="244">
        <f>SUM(BC$11:BC16)</f>
        <v>0</v>
      </c>
      <c r="BI16" s="245">
        <f>SUM(BD$11:BD16)</f>
        <v>0</v>
      </c>
      <c r="BJ16" s="249"/>
      <c r="BK16" s="238"/>
      <c r="BL16" s="243"/>
      <c r="BM16" s="250"/>
      <c r="BN16" s="243">
        <f>SUM(BJ$11:BJ16)</f>
        <v>0</v>
      </c>
      <c r="BO16" s="238">
        <f>SUM(BK$11:BK16)</f>
        <v>0</v>
      </c>
      <c r="BP16" s="243">
        <f>SUM(BL$11:BL16)</f>
        <v>0</v>
      </c>
      <c r="BQ16" s="239">
        <f>SUM(BM$11:BM16)</f>
        <v>0</v>
      </c>
      <c r="BR16" s="246">
        <f>AM16</f>
        <v>0</v>
      </c>
      <c r="BS16" s="251">
        <f>AN16</f>
        <v>0</v>
      </c>
      <c r="BT16" s="251">
        <f>AO16</f>
        <v>0</v>
      </c>
      <c r="BU16" s="251">
        <f>AP16</f>
        <v>0</v>
      </c>
      <c r="BV16" s="252">
        <f>(AI16+AK16+AL16)*0.0156</f>
        <v>0</v>
      </c>
      <c r="BW16" s="238">
        <f>SUM(BR$11:BR16)</f>
        <v>0</v>
      </c>
      <c r="BX16" s="238">
        <f>SUM(BS$11:BS16)</f>
        <v>0</v>
      </c>
      <c r="BY16" s="238">
        <f>SUM(BT$11:BT16)</f>
        <v>0</v>
      </c>
      <c r="BZ16" s="238">
        <f>SUM(BU$11:BU16)</f>
        <v>0</v>
      </c>
      <c r="CA16" s="239">
        <f>SUM(BV$11:BV16)</f>
        <v>0</v>
      </c>
      <c r="CB16" s="253">
        <f>BC16*0.5</f>
        <v>0</v>
      </c>
      <c r="CC16" s="254"/>
      <c r="CD16" s="255"/>
      <c r="CE16" s="238">
        <f>SUM(CB$11:CB16)</f>
        <v>0</v>
      </c>
      <c r="CF16" s="242">
        <f>SUM(CC$11:CC16)</f>
        <v>0</v>
      </c>
      <c r="CG16" s="239">
        <f>SUM(CD$11:CD16)</f>
        <v>0</v>
      </c>
      <c r="CH16" s="256">
        <f>AH16+AJ16</f>
        <v>0</v>
      </c>
      <c r="CI16" s="238">
        <f>AG16+AI16+AK16+AL16+AM16+AN16+AO16+AP16</f>
        <v>0</v>
      </c>
      <c r="CJ16" s="243">
        <f>SUM(AZ16:BD16)</f>
        <v>0</v>
      </c>
      <c r="CK16" s="243">
        <f>SUM(BJ16:BM16)</f>
        <v>0</v>
      </c>
      <c r="CL16" s="243">
        <f>SUM(BR16:BV16)</f>
        <v>0</v>
      </c>
      <c r="CM16" s="257">
        <f>CC16</f>
        <v>0</v>
      </c>
      <c r="CN16" s="257">
        <f>CD16</f>
        <v>0</v>
      </c>
      <c r="CO16" s="258">
        <f>CI16-CJ16-CK16-CL16+CM16+CN16</f>
        <v>0</v>
      </c>
      <c r="CP16" s="101">
        <f>SUM(CH$11:CH16)</f>
        <v>0</v>
      </c>
      <c r="CQ16" s="259">
        <f>SUM(CI$11:CI16)</f>
        <v>0</v>
      </c>
      <c r="CR16" s="243">
        <f>SUM(CJ$11:CJ16)</f>
        <v>0</v>
      </c>
      <c r="CS16" s="243">
        <f>SUM(CK$11:CK16)</f>
        <v>0</v>
      </c>
      <c r="CT16" s="243">
        <f>SUM(CL$11:CL16)</f>
        <v>0</v>
      </c>
      <c r="CU16" s="257">
        <f>SUM(CM$11:CM16)</f>
        <v>0</v>
      </c>
      <c r="CV16" s="234">
        <f>SUM(CN$11:CN16)</f>
        <v>0</v>
      </c>
      <c r="CW16" s="260">
        <f>SUM(CO$11:CO16)</f>
        <v>0</v>
      </c>
    </row>
    <row r="17" spans="2:101" ht="12.75">
      <c r="B17" s="209">
        <v>40999</v>
      </c>
      <c r="C17" s="261"/>
      <c r="D17" s="211"/>
      <c r="E17" s="212"/>
      <c r="F17" s="213"/>
      <c r="G17" s="216"/>
      <c r="H17" s="214"/>
      <c r="I17" s="215">
        <f>SUM(C17:G17)+K17</f>
        <v>0</v>
      </c>
      <c r="J17" s="211"/>
      <c r="K17" s="263"/>
      <c r="L17" s="218"/>
      <c r="M17" s="271"/>
      <c r="N17" s="92">
        <f>C17+D17/2.85+E17+K17*3.65</f>
        <v>0</v>
      </c>
      <c r="O17" s="212">
        <f>J17/4.95+K17*3.65</f>
        <v>0</v>
      </c>
      <c r="P17" s="213">
        <f>F17+G17/2.85</f>
        <v>0</v>
      </c>
      <c r="Q17" s="213">
        <f>L17/4.95</f>
        <v>0</v>
      </c>
      <c r="R17" s="264">
        <f>IF(M17=1,2,(IF(M17=2,6,IF(M17=3,12,IF(M17&gt;3,12+12*(M17-3),0)))))</f>
        <v>0</v>
      </c>
      <c r="S17" s="265">
        <f>IF(H17&gt;0,150+(50*(ROUNDUP(H17,0)-4)),0)</f>
        <v>0</v>
      </c>
      <c r="T17" s="222">
        <f>MAX(N17:O17,62)+MAX(P17:Q17)+R17</f>
        <v>62</v>
      </c>
      <c r="U17" s="151">
        <f>IF((I17)&gt;62,(I17),62)+(IF(M17&lt;3,M17*1.5*62/17,10.94+((M17-2)*1.75*62/17)))</f>
        <v>62</v>
      </c>
      <c r="V17" s="223">
        <f>MAX(31,I17-31,U17-31,31+(IF(M17&lt;3,M17*1.5*62/17,10.94+((M17-2)*1.75*62/17))))</f>
        <v>31</v>
      </c>
      <c r="W17" s="224">
        <f>V17*$N$2+S38</f>
        <v>0</v>
      </c>
      <c r="X17" s="225">
        <f>AH17+AJ17</f>
        <v>0</v>
      </c>
      <c r="Y17" s="226">
        <f>AI17+AK17</f>
        <v>0</v>
      </c>
      <c r="Z17" s="151">
        <f>SUM(V$11:V17)</f>
        <v>186</v>
      </c>
      <c r="AA17" s="227">
        <f>CP17</f>
        <v>0</v>
      </c>
      <c r="AB17" s="151"/>
      <c r="AC17" s="228">
        <f>AB17*2.4</f>
        <v>0</v>
      </c>
      <c r="AD17" s="229">
        <f>CC17+CD17</f>
        <v>0</v>
      </c>
      <c r="AE17" s="230">
        <f>SUM(AC$12:AC17)</f>
        <v>0</v>
      </c>
      <c r="AF17" s="231">
        <f>SUM(AD$12:AD17)</f>
        <v>0</v>
      </c>
      <c r="AG17" s="232"/>
      <c r="AH17" s="233"/>
      <c r="AI17" s="234">
        <f>AH17*$N$2</f>
        <v>0</v>
      </c>
      <c r="AJ17" s="235"/>
      <c r="AK17" s="255">
        <f>AJ17*$N$2</f>
        <v>0</v>
      </c>
      <c r="AL17" s="236"/>
      <c r="AM17" s="236"/>
      <c r="AN17" s="238"/>
      <c r="AO17" s="238"/>
      <c r="AP17" s="239"/>
      <c r="AQ17" s="240">
        <f>SUM(AG$11:AG17)</f>
        <v>0</v>
      </c>
      <c r="AR17" s="241">
        <f>SUM(AH$11:AH17)</f>
        <v>0</v>
      </c>
      <c r="AS17" s="234">
        <f>SUM(AI$11:AI17)</f>
        <v>0</v>
      </c>
      <c r="AT17" s="233">
        <f>SUM(AJ$11:AJ17)</f>
        <v>0</v>
      </c>
      <c r="AU17" s="234">
        <f>SUM(AK$11:AK17)</f>
        <v>0</v>
      </c>
      <c r="AV17" s="242">
        <f>SUM(AM$11:AM17)</f>
        <v>0</v>
      </c>
      <c r="AW17" s="243">
        <f>SUM(AN$11:AN17)</f>
        <v>0</v>
      </c>
      <c r="AX17" s="238">
        <f>SUM(AO$11:AO17)</f>
        <v>0</v>
      </c>
      <c r="AY17" s="239">
        <f>SUM(AP$11:AP17)</f>
        <v>0</v>
      </c>
      <c r="AZ17" s="244"/>
      <c r="BA17" s="245"/>
      <c r="BB17" s="246"/>
      <c r="BC17" s="247">
        <f>0.1*(AI17+AK17+AL17-BB17)</f>
        <v>0</v>
      </c>
      <c r="BD17" s="244"/>
      <c r="BE17" s="248">
        <f>SUM(AZ$11:AZ17)</f>
        <v>0</v>
      </c>
      <c r="BF17" s="245">
        <f>SUM(BA$11:BA17)</f>
        <v>0</v>
      </c>
      <c r="BG17" s="245">
        <f>SUM(BB$11:BB17)</f>
        <v>0</v>
      </c>
      <c r="BH17" s="244">
        <f>SUM(BC$11:BC17)</f>
        <v>0</v>
      </c>
      <c r="BI17" s="245">
        <f>SUM(BD$11:BD17)</f>
        <v>0</v>
      </c>
      <c r="BJ17" s="249"/>
      <c r="BK17" s="238"/>
      <c r="BL17" s="243"/>
      <c r="BM17" s="336"/>
      <c r="BN17" s="243">
        <f>SUM(BJ$11:BJ17)</f>
        <v>0</v>
      </c>
      <c r="BO17" s="238">
        <f>SUM(BK$11:BK17)</f>
        <v>0</v>
      </c>
      <c r="BP17" s="243">
        <f>SUM(BL$11:BL17)</f>
        <v>0</v>
      </c>
      <c r="BQ17" s="239">
        <f>SUM(BM$11:BM17)</f>
        <v>0</v>
      </c>
      <c r="BR17" s="246">
        <f>AM17</f>
        <v>0</v>
      </c>
      <c r="BS17" s="251">
        <f>AN17</f>
        <v>0</v>
      </c>
      <c r="BT17" s="251">
        <f>AO17</f>
        <v>0</v>
      </c>
      <c r="BU17" s="251">
        <f>AP17</f>
        <v>0</v>
      </c>
      <c r="BV17" s="252">
        <f>(AI17+AK17+AL17)*0.0156</f>
        <v>0</v>
      </c>
      <c r="BW17" s="238">
        <f>SUM(BR$11:BR17)</f>
        <v>0</v>
      </c>
      <c r="BX17" s="238">
        <f>SUM(BS$11:BS17)</f>
        <v>0</v>
      </c>
      <c r="BY17" s="238">
        <f>SUM(BT$11:BT17)</f>
        <v>0</v>
      </c>
      <c r="BZ17" s="238">
        <f>SUM(BU$11:BU17)</f>
        <v>0</v>
      </c>
      <c r="CA17" s="239">
        <f>SUM(BV$11:BV17)</f>
        <v>0</v>
      </c>
      <c r="CB17" s="253">
        <f>BC17*0.5</f>
        <v>0</v>
      </c>
      <c r="CC17" s="254"/>
      <c r="CD17" s="255"/>
      <c r="CE17" s="238">
        <f>SUM(CB$11:CB17)</f>
        <v>0</v>
      </c>
      <c r="CF17" s="242">
        <f>SUM(CC$11:CC17)</f>
        <v>0</v>
      </c>
      <c r="CG17" s="239">
        <f>SUM(CD$11:CD17)</f>
        <v>0</v>
      </c>
      <c r="CH17" s="256">
        <f>AH17+AJ17</f>
        <v>0</v>
      </c>
      <c r="CI17" s="238">
        <f>AG17+AI17+AK17+AL17+AM17+AN17+AO17+AP17</f>
        <v>0</v>
      </c>
      <c r="CJ17" s="243">
        <f>SUM(AZ17:BD17)</f>
        <v>0</v>
      </c>
      <c r="CK17" s="243">
        <f>SUM(BJ17:BM17)</f>
        <v>0</v>
      </c>
      <c r="CL17" s="243">
        <f>SUM(BR17:BV17)</f>
        <v>0</v>
      </c>
      <c r="CM17" s="257">
        <f>CC17</f>
        <v>0</v>
      </c>
      <c r="CN17" s="257">
        <f>CD17</f>
        <v>0</v>
      </c>
      <c r="CO17" s="258">
        <f>CI17-CJ17-CK17-CL17+CM17+CN17</f>
        <v>0</v>
      </c>
      <c r="CP17" s="101">
        <f>SUM(CH$11:CH17)</f>
        <v>0</v>
      </c>
      <c r="CQ17" s="259">
        <f>SUM(CI$11:CI17)</f>
        <v>0</v>
      </c>
      <c r="CR17" s="243">
        <f>SUM(CJ$11:CJ17)</f>
        <v>0</v>
      </c>
      <c r="CS17" s="243">
        <f>SUM(CK$11:CK17)</f>
        <v>0</v>
      </c>
      <c r="CT17" s="243">
        <f>SUM(CL$11:CL17)</f>
        <v>0</v>
      </c>
      <c r="CU17" s="257">
        <f>SUM(CM$11:CM17)</f>
        <v>0</v>
      </c>
      <c r="CV17" s="234">
        <f>SUM(CN$11:CN17)</f>
        <v>0</v>
      </c>
      <c r="CW17" s="260">
        <f>SUM(CO$11:CO17)</f>
        <v>0</v>
      </c>
    </row>
    <row r="18" spans="2:101" ht="12.75">
      <c r="B18" s="209">
        <v>41014</v>
      </c>
      <c r="C18" s="210" t="s">
        <v>126</v>
      </c>
      <c r="D18" s="211"/>
      <c r="E18" s="212"/>
      <c r="F18" s="213"/>
      <c r="G18" s="216"/>
      <c r="H18" s="214"/>
      <c r="I18" s="215"/>
      <c r="J18" s="337"/>
      <c r="K18" s="223"/>
      <c r="L18" s="338"/>
      <c r="M18" s="271"/>
      <c r="N18" s="339"/>
      <c r="O18" s="339"/>
      <c r="P18" s="340"/>
      <c r="Q18" s="340"/>
      <c r="R18" s="341"/>
      <c r="S18" s="342"/>
      <c r="T18" s="222"/>
      <c r="U18" s="151"/>
      <c r="V18" s="223">
        <v>31</v>
      </c>
      <c r="W18" s="224">
        <f>V18*$N$2+S39</f>
        <v>0</v>
      </c>
      <c r="X18" s="225">
        <f>AH18+AJ18</f>
        <v>0</v>
      </c>
      <c r="Y18" s="226">
        <f>AI18+AK18</f>
        <v>0</v>
      </c>
      <c r="Z18" s="151">
        <f>SUM(V$11:V18)</f>
        <v>217</v>
      </c>
      <c r="AA18" s="227">
        <f>CP18</f>
        <v>0</v>
      </c>
      <c r="AB18" s="151"/>
      <c r="AC18" s="228"/>
      <c r="AD18" s="229"/>
      <c r="AE18" s="230"/>
      <c r="AF18" s="231"/>
      <c r="AG18" s="232"/>
      <c r="AH18" s="233"/>
      <c r="AI18" s="234">
        <f>AH18*$N$2</f>
        <v>0</v>
      </c>
      <c r="AJ18" s="235"/>
      <c r="AK18" s="255">
        <f>AJ18*$N$2</f>
        <v>0</v>
      </c>
      <c r="AL18" s="236"/>
      <c r="AM18" s="236"/>
      <c r="AN18" s="238"/>
      <c r="AO18" s="238"/>
      <c r="AP18" s="239"/>
      <c r="AQ18" s="240">
        <f>SUM(AG$11:AG18)</f>
        <v>0</v>
      </c>
      <c r="AR18" s="241">
        <f>SUM(AH$11:AH18)</f>
        <v>0</v>
      </c>
      <c r="AS18" s="234">
        <f>SUM(AI$11:AI18)</f>
        <v>0</v>
      </c>
      <c r="AT18" s="233">
        <f>SUM(AJ$11:AJ18)</f>
        <v>0</v>
      </c>
      <c r="AU18" s="234">
        <f>SUM(AK$11:AK18)</f>
        <v>0</v>
      </c>
      <c r="AV18" s="242">
        <f>SUM(AM$11:AM18)</f>
        <v>0</v>
      </c>
      <c r="AW18" s="243">
        <f>SUM(AN$11:AN18)</f>
        <v>0</v>
      </c>
      <c r="AX18" s="238">
        <f>SUM(AO$11:AO18)</f>
        <v>0</v>
      </c>
      <c r="AY18" s="239">
        <f>SUM(AP$11:AP18)</f>
        <v>0</v>
      </c>
      <c r="AZ18" s="244"/>
      <c r="BA18" s="245"/>
      <c r="BB18" s="246"/>
      <c r="BC18" s="247">
        <f>0.1*(AI18+AK18+AL18-BB18)</f>
        <v>0</v>
      </c>
      <c r="BD18" s="244"/>
      <c r="BE18" s="248">
        <f>SUM(AZ$11:AZ18)</f>
        <v>0</v>
      </c>
      <c r="BF18" s="245">
        <f>SUM(BA$11:BA18)</f>
        <v>0</v>
      </c>
      <c r="BG18" s="245">
        <f>SUM(BB$11:BB18)</f>
        <v>0</v>
      </c>
      <c r="BH18" s="244">
        <f>SUM(BC$11:BC18)</f>
        <v>0</v>
      </c>
      <c r="BI18" s="245">
        <f>SUM(BD$11:BD18)</f>
        <v>0</v>
      </c>
      <c r="BJ18" s="249"/>
      <c r="BK18" s="238"/>
      <c r="BL18" s="243"/>
      <c r="BM18" s="336"/>
      <c r="BN18" s="243">
        <f>SUM(BJ$11:BJ18)</f>
        <v>0</v>
      </c>
      <c r="BO18" s="238">
        <f>SUM(BK$11:BK18)</f>
        <v>0</v>
      </c>
      <c r="BP18" s="243">
        <f>SUM(BL$11:BL18)</f>
        <v>0</v>
      </c>
      <c r="BQ18" s="239">
        <f>SUM(BM$11:BM18)</f>
        <v>0</v>
      </c>
      <c r="BR18" s="246">
        <f>AM18</f>
        <v>0</v>
      </c>
      <c r="BS18" s="251">
        <f>AN18</f>
        <v>0</v>
      </c>
      <c r="BT18" s="251">
        <f>AO18</f>
        <v>0</v>
      </c>
      <c r="BU18" s="251">
        <f>AP18</f>
        <v>0</v>
      </c>
      <c r="BV18" s="252">
        <f>(AI18+AK18+AL18)*0.0156</f>
        <v>0</v>
      </c>
      <c r="BW18" s="238">
        <f>SUM(BR$11:BR18)</f>
        <v>0</v>
      </c>
      <c r="BX18" s="238">
        <f>SUM(BS$11:BS18)</f>
        <v>0</v>
      </c>
      <c r="BY18" s="238">
        <f>SUM(BT$11:BT18)</f>
        <v>0</v>
      </c>
      <c r="BZ18" s="238">
        <f>SUM(BU$11:BU18)</f>
        <v>0</v>
      </c>
      <c r="CA18" s="239">
        <f>SUM(BV$11:BV18)</f>
        <v>0</v>
      </c>
      <c r="CB18" s="253">
        <f>BC18*0.5</f>
        <v>0</v>
      </c>
      <c r="CC18" s="254"/>
      <c r="CD18" s="255"/>
      <c r="CE18" s="238">
        <f>SUM(CB$11:CB18)</f>
        <v>0</v>
      </c>
      <c r="CF18" s="242">
        <f>SUM(CC$11:CC18)</f>
        <v>0</v>
      </c>
      <c r="CG18" s="239">
        <f>SUM(CD$11:CD18)</f>
        <v>0</v>
      </c>
      <c r="CH18" s="256">
        <f>AH18+AJ18</f>
        <v>0</v>
      </c>
      <c r="CI18" s="238">
        <f>AG18+AI18+AK18+AL18+AM18+AN18+AO18+AP18</f>
        <v>0</v>
      </c>
      <c r="CJ18" s="243">
        <f>SUM(AZ18:BD18)</f>
        <v>0</v>
      </c>
      <c r="CK18" s="243">
        <f>SUM(BJ18:BM18)</f>
        <v>0</v>
      </c>
      <c r="CL18" s="243">
        <f>SUM(BR18:BV18)</f>
        <v>0</v>
      </c>
      <c r="CM18" s="257">
        <f>CC18</f>
        <v>0</v>
      </c>
      <c r="CN18" s="257">
        <f>CD18</f>
        <v>0</v>
      </c>
      <c r="CO18" s="258">
        <f>CI18-CJ18-CK18-CL18+CM18+CN18</f>
        <v>0</v>
      </c>
      <c r="CP18" s="101">
        <f>SUM(CH$11:CH18)</f>
        <v>0</v>
      </c>
      <c r="CQ18" s="259">
        <f>SUM(CI$11:CI18)</f>
        <v>0</v>
      </c>
      <c r="CR18" s="243">
        <f>SUM(CJ$11:CJ18)</f>
        <v>0</v>
      </c>
      <c r="CS18" s="243">
        <f>SUM(CK$11:CK18)</f>
        <v>0</v>
      </c>
      <c r="CT18" s="243">
        <f>SUM(CL$11:CL18)</f>
        <v>0</v>
      </c>
      <c r="CU18" s="257">
        <f>SUM(CM$11:CM18)</f>
        <v>0</v>
      </c>
      <c r="CV18" s="234">
        <f>SUM(CN$11:CN18)</f>
        <v>0</v>
      </c>
      <c r="CW18" s="260">
        <f>SUM(CO$11:CO18)</f>
        <v>0</v>
      </c>
    </row>
    <row r="19" spans="2:101" ht="12.75">
      <c r="B19" s="209">
        <v>41029</v>
      </c>
      <c r="C19" s="261"/>
      <c r="D19" s="211"/>
      <c r="E19" s="212"/>
      <c r="F19" s="213"/>
      <c r="G19" s="216"/>
      <c r="H19" s="214"/>
      <c r="I19" s="215">
        <f>SUM(C19:G19)+K19</f>
        <v>0</v>
      </c>
      <c r="J19" s="343"/>
      <c r="K19" s="263"/>
      <c r="L19" s="344"/>
      <c r="M19" s="271"/>
      <c r="N19" s="92">
        <f>C19+D19/2.85+E19+K19*3.65</f>
        <v>0</v>
      </c>
      <c r="O19" s="212">
        <f>J19/4.95+K19*3.65</f>
        <v>0</v>
      </c>
      <c r="P19" s="213">
        <f>F19+G19/2.85</f>
        <v>0</v>
      </c>
      <c r="Q19" s="213">
        <f>L19/4.95</f>
        <v>0</v>
      </c>
      <c r="R19" s="264">
        <f>IF(M19=1,2,(IF(M19=2,6,IF(M19=3,12,IF(M19&gt;3,12+12*(M19-3),0)))))</f>
        <v>0</v>
      </c>
      <c r="S19" s="265">
        <f>IF(H19&gt;0,150+(50*(ROUNDUP(H19,0)-4)),0)</f>
        <v>0</v>
      </c>
      <c r="T19" s="222">
        <f>MAX(N19:O19,62)+MAX(P19:Q19)+R19</f>
        <v>62</v>
      </c>
      <c r="U19" s="151">
        <f>IF((I19)&gt;62,(I19),62)+(IF(M19&lt;3,M19*1.5*62/17,10.94+((M19-2)*1.75*62/17)))</f>
        <v>62</v>
      </c>
      <c r="V19" s="142">
        <f>MAX(31,I19-31,U19-31,31+(IF(M19&lt;3,M19*1.5*62/17,10.94+((M19-2)*1.75*62/17))))</f>
        <v>31</v>
      </c>
      <c r="W19" s="224">
        <f>V19*$N$2+S40</f>
        <v>0</v>
      </c>
      <c r="X19" s="225">
        <f>AH19+AJ19</f>
        <v>0</v>
      </c>
      <c r="Y19" s="226">
        <f>AI19+AK19</f>
        <v>0</v>
      </c>
      <c r="Z19" s="151">
        <f>SUM(V$11:V19)</f>
        <v>248</v>
      </c>
      <c r="AA19" s="345">
        <f>CP19</f>
        <v>0</v>
      </c>
      <c r="AB19" s="151"/>
      <c r="AC19" s="346">
        <f>AB19*2.4</f>
        <v>0</v>
      </c>
      <c r="AD19" s="229">
        <f>CC19+CD19</f>
        <v>0</v>
      </c>
      <c r="AE19" s="347">
        <f>SUM(AC$12:AC19)</f>
        <v>0</v>
      </c>
      <c r="AF19" s="229">
        <f>SUM(AD$12:AD19)</f>
        <v>0</v>
      </c>
      <c r="AG19" s="232"/>
      <c r="AH19" s="235"/>
      <c r="AI19" s="234">
        <f>AH19*$N$2</f>
        <v>0</v>
      </c>
      <c r="AJ19" s="235"/>
      <c r="AK19" s="255">
        <f>AJ19*$N$2</f>
        <v>0</v>
      </c>
      <c r="AL19" s="236"/>
      <c r="AM19" s="236"/>
      <c r="AN19" s="238"/>
      <c r="AO19" s="238"/>
      <c r="AP19" s="239"/>
      <c r="AQ19" s="240">
        <f>SUM(AG$11:AG19)</f>
        <v>0</v>
      </c>
      <c r="AR19" s="241">
        <f>SUM(AH$11:AH19)</f>
        <v>0</v>
      </c>
      <c r="AS19" s="234">
        <f>SUM(AI$11:AI19)</f>
        <v>0</v>
      </c>
      <c r="AT19" s="233">
        <f>SUM(AJ$11:AJ19)</f>
        <v>0</v>
      </c>
      <c r="AU19" s="234">
        <f>SUM(AK$11:AK19)</f>
        <v>0</v>
      </c>
      <c r="AV19" s="242">
        <f>SUM(AM$11:AM19)</f>
        <v>0</v>
      </c>
      <c r="AW19" s="243">
        <f>SUM(AN$11:AN19)</f>
        <v>0</v>
      </c>
      <c r="AX19" s="238">
        <f>SUM(AO$11:AO19)</f>
        <v>0</v>
      </c>
      <c r="AY19" s="239">
        <f>SUM(AP$11:AP19)</f>
        <v>0</v>
      </c>
      <c r="AZ19" s="244"/>
      <c r="BA19" s="245"/>
      <c r="BB19" s="246"/>
      <c r="BC19" s="247">
        <f>0.1*(AI19+AK19+AL19-BB19)</f>
        <v>0</v>
      </c>
      <c r="BD19" s="244"/>
      <c r="BE19" s="248">
        <f>SUM(AZ$11:AZ19)</f>
        <v>0</v>
      </c>
      <c r="BF19" s="245">
        <f>SUM(BA$11:BA19)</f>
        <v>0</v>
      </c>
      <c r="BG19" s="245">
        <f>SUM(BB$11:BB19)</f>
        <v>0</v>
      </c>
      <c r="BH19" s="244">
        <f>SUM(BC$11:BC19)</f>
        <v>0</v>
      </c>
      <c r="BI19" s="245">
        <f>SUM(BD$11:BD19)</f>
        <v>0</v>
      </c>
      <c r="BJ19" s="249"/>
      <c r="BK19" s="238"/>
      <c r="BL19" s="243"/>
      <c r="BM19" s="336"/>
      <c r="BN19" s="243">
        <f>SUM(BJ$11:BJ19)</f>
        <v>0</v>
      </c>
      <c r="BO19" s="238">
        <f>SUM(BK$11:BK19)</f>
        <v>0</v>
      </c>
      <c r="BP19" s="243">
        <f>SUM(BL$11:BL19)</f>
        <v>0</v>
      </c>
      <c r="BQ19" s="239">
        <f>SUM(BM$11:BM19)</f>
        <v>0</v>
      </c>
      <c r="BR19" s="246">
        <f>AM19</f>
        <v>0</v>
      </c>
      <c r="BS19" s="251">
        <f>AN19</f>
        <v>0</v>
      </c>
      <c r="BT19" s="251">
        <f>AO19</f>
        <v>0</v>
      </c>
      <c r="BU19" s="251">
        <f>AP19</f>
        <v>0</v>
      </c>
      <c r="BV19" s="252">
        <f>(AI19+AK19+AL19)*0.0156</f>
        <v>0</v>
      </c>
      <c r="BW19" s="238">
        <f>SUM(BR$11:BR19)</f>
        <v>0</v>
      </c>
      <c r="BX19" s="238">
        <f>SUM(BS$11:BS19)</f>
        <v>0</v>
      </c>
      <c r="BY19" s="238">
        <f>SUM(BT$11:BT19)</f>
        <v>0</v>
      </c>
      <c r="BZ19" s="238">
        <f>SUM(BU$11:BU19)</f>
        <v>0</v>
      </c>
      <c r="CA19" s="239">
        <f>SUM(BV$11:BV19)</f>
        <v>0</v>
      </c>
      <c r="CB19" s="253">
        <f>BC19*0.5</f>
        <v>0</v>
      </c>
      <c r="CC19" s="254"/>
      <c r="CD19" s="255"/>
      <c r="CE19" s="238">
        <f>SUM(CB$11:CB19)</f>
        <v>0</v>
      </c>
      <c r="CF19" s="242">
        <f>SUM(CC$11:CC19)</f>
        <v>0</v>
      </c>
      <c r="CG19" s="239">
        <f>SUM(CD$11:CD19)</f>
        <v>0</v>
      </c>
      <c r="CH19" s="256">
        <f>AH19+AJ19</f>
        <v>0</v>
      </c>
      <c r="CI19" s="238">
        <f>AG19+AI19+AK19+AL19+AM19+AN19+AO19+AP19</f>
        <v>0</v>
      </c>
      <c r="CJ19" s="243">
        <f>SUM(AZ19:BD19)</f>
        <v>0</v>
      </c>
      <c r="CK19" s="243">
        <f>SUM(BJ19:BM19)</f>
        <v>0</v>
      </c>
      <c r="CL19" s="243">
        <f>SUM(BR19:BV19)</f>
        <v>0</v>
      </c>
      <c r="CM19" s="257">
        <f>CC19</f>
        <v>0</v>
      </c>
      <c r="CN19" s="257">
        <f>CD19</f>
        <v>0</v>
      </c>
      <c r="CO19" s="258">
        <f>CI19-CJ19-CK19-CL19+CM19+CN19</f>
        <v>0</v>
      </c>
      <c r="CP19" s="101">
        <f>SUM(CH$11:CH19)</f>
        <v>0</v>
      </c>
      <c r="CQ19" s="259">
        <f>SUM(CI$11:CI19)</f>
        <v>0</v>
      </c>
      <c r="CR19" s="243">
        <f>SUM(CJ$11:CJ19)</f>
        <v>0</v>
      </c>
      <c r="CS19" s="243">
        <f>SUM(CK$11:CK19)</f>
        <v>0</v>
      </c>
      <c r="CT19" s="243">
        <f>SUM(CL$11:CL19)</f>
        <v>0</v>
      </c>
      <c r="CU19" s="257">
        <f>SUM(CM$11:CM19)</f>
        <v>0</v>
      </c>
      <c r="CV19" s="234">
        <f>SUM(CN$11:CN19)</f>
        <v>0</v>
      </c>
      <c r="CW19" s="260">
        <f>SUM(CO$11:CO19)</f>
        <v>0</v>
      </c>
    </row>
    <row r="20" spans="2:101" ht="12.75">
      <c r="B20" s="209">
        <v>41044</v>
      </c>
      <c r="C20" s="210" t="s">
        <v>127</v>
      </c>
      <c r="D20" s="211"/>
      <c r="E20" s="212"/>
      <c r="F20" s="213"/>
      <c r="G20" s="216"/>
      <c r="H20" s="214"/>
      <c r="I20" s="215"/>
      <c r="J20" s="329"/>
      <c r="K20" s="329"/>
      <c r="L20" s="348"/>
      <c r="M20" s="271"/>
      <c r="N20" s="111"/>
      <c r="O20" s="130"/>
      <c r="P20" s="349"/>
      <c r="Q20" s="349"/>
      <c r="R20" s="264"/>
      <c r="S20" s="350"/>
      <c r="T20" s="222"/>
      <c r="U20" s="151"/>
      <c r="V20" s="142">
        <v>31</v>
      </c>
      <c r="W20" s="224">
        <f>V20*$N$2+S41</f>
        <v>0</v>
      </c>
      <c r="X20" s="225">
        <f>AH20+AJ20</f>
        <v>0</v>
      </c>
      <c r="Y20" s="226">
        <f>AI20+AK20</f>
        <v>0</v>
      </c>
      <c r="Z20" s="151">
        <f>SUM(V$11:V20)</f>
        <v>279</v>
      </c>
      <c r="AA20" s="345">
        <f>CP20</f>
        <v>0</v>
      </c>
      <c r="AB20" s="151"/>
      <c r="AC20" s="346"/>
      <c r="AD20" s="229"/>
      <c r="AE20" s="347"/>
      <c r="AF20" s="229"/>
      <c r="AG20" s="232"/>
      <c r="AH20" s="235"/>
      <c r="AI20" s="234">
        <f>AH20*$N$2</f>
        <v>0</v>
      </c>
      <c r="AJ20" s="235"/>
      <c r="AK20" s="255">
        <f>AJ20*$N$2</f>
        <v>0</v>
      </c>
      <c r="AL20" s="236"/>
      <c r="AM20" s="236"/>
      <c r="AN20" s="238"/>
      <c r="AO20" s="238"/>
      <c r="AP20" s="239"/>
      <c r="AQ20" s="240">
        <f>SUM(AG$11:AG20)</f>
        <v>0</v>
      </c>
      <c r="AR20" s="241">
        <f>SUM(AH$11:AH20)</f>
        <v>0</v>
      </c>
      <c r="AS20" s="234">
        <f>SUM(AI$11:AI20)</f>
        <v>0</v>
      </c>
      <c r="AT20" s="233">
        <f>SUM(AJ$11:AJ20)</f>
        <v>0</v>
      </c>
      <c r="AU20" s="234">
        <f>SUM(AK$11:AK20)</f>
        <v>0</v>
      </c>
      <c r="AV20" s="242">
        <f>SUM(AM$11:AM20)</f>
        <v>0</v>
      </c>
      <c r="AW20" s="243">
        <f>SUM(AN$11:AN20)</f>
        <v>0</v>
      </c>
      <c r="AX20" s="238">
        <f>SUM(AO$11:AO20)</f>
        <v>0</v>
      </c>
      <c r="AY20" s="239">
        <f>SUM(AP$11:AP20)</f>
        <v>0</v>
      </c>
      <c r="AZ20" s="244"/>
      <c r="BA20" s="245"/>
      <c r="BB20" s="246"/>
      <c r="BC20" s="247">
        <f>0.1*(AI20+AK20+AL20-BB20)</f>
        <v>0</v>
      </c>
      <c r="BD20" s="244"/>
      <c r="BE20" s="248">
        <f>SUM(AZ$11:AZ20)</f>
        <v>0</v>
      </c>
      <c r="BF20" s="245">
        <f>SUM(BA$11:BA20)</f>
        <v>0</v>
      </c>
      <c r="BG20" s="245">
        <f>SUM(BB$11:BB20)</f>
        <v>0</v>
      </c>
      <c r="BH20" s="244">
        <f>SUM(BC$11:BC20)</f>
        <v>0</v>
      </c>
      <c r="BI20" s="245">
        <f>SUM(BD$11:BD20)</f>
        <v>0</v>
      </c>
      <c r="BJ20" s="249"/>
      <c r="BK20" s="238"/>
      <c r="BL20" s="243"/>
      <c r="BM20" s="336"/>
      <c r="BN20" s="243">
        <f>SUM(BJ$11:BJ20)</f>
        <v>0</v>
      </c>
      <c r="BO20" s="238">
        <f>SUM(BK$11:BK20)</f>
        <v>0</v>
      </c>
      <c r="BP20" s="243">
        <f>SUM(BL$11:BL20)</f>
        <v>0</v>
      </c>
      <c r="BQ20" s="239">
        <f>SUM(BM$11:BM20)</f>
        <v>0</v>
      </c>
      <c r="BR20" s="246">
        <f>AM20</f>
        <v>0</v>
      </c>
      <c r="BS20" s="251">
        <f>AN20</f>
        <v>0</v>
      </c>
      <c r="BT20" s="251">
        <f>AO20</f>
        <v>0</v>
      </c>
      <c r="BU20" s="251">
        <f>AP20</f>
        <v>0</v>
      </c>
      <c r="BV20" s="252">
        <f>(AI20+AK20+AL20)*0.0156</f>
        <v>0</v>
      </c>
      <c r="BW20" s="238">
        <f>SUM(BR$11:BR20)</f>
        <v>0</v>
      </c>
      <c r="BX20" s="238">
        <f>SUM(BS$11:BS20)</f>
        <v>0</v>
      </c>
      <c r="BY20" s="238">
        <f>SUM(BT$11:BT20)</f>
        <v>0</v>
      </c>
      <c r="BZ20" s="238">
        <f>SUM(BU$11:BU20)</f>
        <v>0</v>
      </c>
      <c r="CA20" s="239">
        <f>SUM(BV$11:BV20)</f>
        <v>0</v>
      </c>
      <c r="CB20" s="253">
        <f>BC20*0.5</f>
        <v>0</v>
      </c>
      <c r="CC20" s="254"/>
      <c r="CD20" s="255"/>
      <c r="CE20" s="238">
        <f>SUM(CB$11:CB20)</f>
        <v>0</v>
      </c>
      <c r="CF20" s="242">
        <f>SUM(CC$11:CC20)</f>
        <v>0</v>
      </c>
      <c r="CG20" s="239">
        <f>SUM(CD$11:CD20)</f>
        <v>0</v>
      </c>
      <c r="CH20" s="256">
        <f>AH20+AJ20</f>
        <v>0</v>
      </c>
      <c r="CI20" s="238">
        <f>AG20+AI20+AK20+AL20+AM20+AN20+AO20+AP20</f>
        <v>0</v>
      </c>
      <c r="CJ20" s="243">
        <f>SUM(AZ20:BD20)</f>
        <v>0</v>
      </c>
      <c r="CK20" s="243">
        <f>SUM(BJ20:BM20)</f>
        <v>0</v>
      </c>
      <c r="CL20" s="243">
        <f>SUM(BR20:BV20)</f>
        <v>0</v>
      </c>
      <c r="CM20" s="257">
        <f>CC20</f>
        <v>0</v>
      </c>
      <c r="CN20" s="257">
        <f>CD20</f>
        <v>0</v>
      </c>
      <c r="CO20" s="258">
        <f>CI20-CJ20-CK20-CL20+CM20+CN20</f>
        <v>0</v>
      </c>
      <c r="CP20" s="101">
        <f>SUM(CH$11:CH20)</f>
        <v>0</v>
      </c>
      <c r="CQ20" s="259">
        <f>SUM(CI$11:CI20)</f>
        <v>0</v>
      </c>
      <c r="CR20" s="243">
        <f>SUM(CJ$11:CJ20)</f>
        <v>0</v>
      </c>
      <c r="CS20" s="243">
        <f>SUM(CK$11:CK20)</f>
        <v>0</v>
      </c>
      <c r="CT20" s="243">
        <f>SUM(CL$11:CL20)</f>
        <v>0</v>
      </c>
      <c r="CU20" s="257">
        <f>SUM(CM$11:CM20)</f>
        <v>0</v>
      </c>
      <c r="CV20" s="234">
        <f>SUM(CN$11:CN20)</f>
        <v>0</v>
      </c>
      <c r="CW20" s="260">
        <f>SUM(CO$11:CO20)</f>
        <v>0</v>
      </c>
    </row>
    <row r="21" spans="2:101" ht="12.75">
      <c r="B21" s="209">
        <v>41060</v>
      </c>
      <c r="C21" s="261"/>
      <c r="D21" s="211"/>
      <c r="E21" s="212"/>
      <c r="F21" s="213"/>
      <c r="G21" s="216"/>
      <c r="H21" s="214"/>
      <c r="I21" s="215">
        <f>SUM(C21:G21)+K21</f>
        <v>0</v>
      </c>
      <c r="J21" s="211"/>
      <c r="K21" s="263"/>
      <c r="L21" s="218"/>
      <c r="M21" s="271"/>
      <c r="N21" s="92">
        <f>C21+D21/2.85+E21+K21*3.65</f>
        <v>0</v>
      </c>
      <c r="O21" s="212">
        <f>J21/4.95+K21*3.65</f>
        <v>0</v>
      </c>
      <c r="P21" s="213">
        <f>F21+G21/2.85</f>
        <v>0</v>
      </c>
      <c r="Q21" s="213">
        <f>L21/4.95</f>
        <v>0</v>
      </c>
      <c r="R21" s="264">
        <f>IF(M21=1,2,(IF(M21=2,6,IF(M21=3,12,IF(M21&gt;3,12+12*(M21-3),0)))))</f>
        <v>0</v>
      </c>
      <c r="S21" s="265">
        <f>IF(H21&gt;0,150+(50*(ROUNDUP(H21,0)-4)),0)</f>
        <v>0</v>
      </c>
      <c r="T21" s="222">
        <f>MAX(N21:O21,62)+MAX(P21:Q21)+R21</f>
        <v>62</v>
      </c>
      <c r="U21" s="151">
        <f>IF((I21)&gt;62,(I21),62)+(IF(M21&lt;3,M21*1.5*62/17,10.94+((M21-2)*1.75*62/17)))</f>
        <v>62</v>
      </c>
      <c r="V21" s="142">
        <f>MAX(31,I21-31,U21-31,31+(IF(M21&lt;3,M21*1.5*62/17,10.94+((M21-2)*1.75*62/17))))</f>
        <v>31</v>
      </c>
      <c r="W21" s="224">
        <f>V21*$N$2+S42</f>
        <v>0</v>
      </c>
      <c r="X21" s="225">
        <f>AH21+AJ21</f>
        <v>0</v>
      </c>
      <c r="Y21" s="226">
        <f>AI21+AK21</f>
        <v>0</v>
      </c>
      <c r="Z21" s="151">
        <f>SUM(V$11:V21)</f>
        <v>310</v>
      </c>
      <c r="AA21" s="345">
        <f>CP21</f>
        <v>0</v>
      </c>
      <c r="AB21" s="151"/>
      <c r="AC21" s="346">
        <f>AB21*2.4</f>
        <v>0</v>
      </c>
      <c r="AD21" s="229">
        <f>CC21+CD21</f>
        <v>0</v>
      </c>
      <c r="AE21" s="347">
        <f>SUM(AC$12:AC21)</f>
        <v>0</v>
      </c>
      <c r="AF21" s="229">
        <f>SUM(AD$12:AD21)</f>
        <v>0</v>
      </c>
      <c r="AG21" s="232"/>
      <c r="AH21" s="235"/>
      <c r="AI21" s="234">
        <f>AH21*$N$2</f>
        <v>0</v>
      </c>
      <c r="AJ21" s="235"/>
      <c r="AK21" s="255">
        <f>AJ21*$N$2</f>
        <v>0</v>
      </c>
      <c r="AL21" s="236"/>
      <c r="AM21" s="236"/>
      <c r="AN21" s="238"/>
      <c r="AO21" s="238"/>
      <c r="AP21" s="239"/>
      <c r="AQ21" s="240">
        <f>SUM(AG$11:AG21)</f>
        <v>0</v>
      </c>
      <c r="AR21" s="241">
        <f>SUM(AH$11:AH21)</f>
        <v>0</v>
      </c>
      <c r="AS21" s="234">
        <f>SUM(AI$11:AI21)</f>
        <v>0</v>
      </c>
      <c r="AT21" s="233">
        <f>SUM(AJ$11:AJ21)</f>
        <v>0</v>
      </c>
      <c r="AU21" s="234">
        <f>SUM(AK$11:AK21)</f>
        <v>0</v>
      </c>
      <c r="AV21" s="242">
        <f>SUM(AM$11:AM21)</f>
        <v>0</v>
      </c>
      <c r="AW21" s="243">
        <f>SUM(AN$11:AN21)</f>
        <v>0</v>
      </c>
      <c r="AX21" s="238">
        <f>SUM(AO$11:AO21)</f>
        <v>0</v>
      </c>
      <c r="AY21" s="239">
        <f>SUM(AP$11:AP21)</f>
        <v>0</v>
      </c>
      <c r="AZ21" s="244"/>
      <c r="BA21" s="245"/>
      <c r="BB21" s="246"/>
      <c r="BC21" s="247">
        <f>0.1*(AI21+AK21+AL21-BB21)</f>
        <v>0</v>
      </c>
      <c r="BD21" s="244"/>
      <c r="BE21" s="248">
        <f>SUM(AZ$11:AZ21)</f>
        <v>0</v>
      </c>
      <c r="BF21" s="245">
        <f>SUM(BA$11:BA21)</f>
        <v>0</v>
      </c>
      <c r="BG21" s="245">
        <f>SUM(BB$11:BB21)</f>
        <v>0</v>
      </c>
      <c r="BH21" s="244">
        <f>SUM(BC$11:BC21)</f>
        <v>0</v>
      </c>
      <c r="BI21" s="245">
        <f>SUM(BD$11:BD21)</f>
        <v>0</v>
      </c>
      <c r="BJ21" s="249"/>
      <c r="BK21" s="238"/>
      <c r="BL21" s="243"/>
      <c r="BM21" s="336"/>
      <c r="BN21" s="243">
        <f>SUM(BJ$11:BJ21)</f>
        <v>0</v>
      </c>
      <c r="BO21" s="238">
        <f>SUM(BK$11:BK21)</f>
        <v>0</v>
      </c>
      <c r="BP21" s="243">
        <f>SUM(BL$11:BL21)</f>
        <v>0</v>
      </c>
      <c r="BQ21" s="239">
        <f>SUM(BM$11:BM21)</f>
        <v>0</v>
      </c>
      <c r="BR21" s="246">
        <f>AM21</f>
        <v>0</v>
      </c>
      <c r="BS21" s="251">
        <f>AN21</f>
        <v>0</v>
      </c>
      <c r="BT21" s="251">
        <f>AO21</f>
        <v>0</v>
      </c>
      <c r="BU21" s="251">
        <f>AP21</f>
        <v>0</v>
      </c>
      <c r="BV21" s="252">
        <f>(AI21+AK21+AL21)*0.0156</f>
        <v>0</v>
      </c>
      <c r="BW21" s="238">
        <f>SUM(BR$11:BR21)</f>
        <v>0</v>
      </c>
      <c r="BX21" s="238">
        <f>SUM(BS$11:BS21)</f>
        <v>0</v>
      </c>
      <c r="BY21" s="238">
        <f>SUM(BT$11:BT21)</f>
        <v>0</v>
      </c>
      <c r="BZ21" s="238">
        <f>SUM(BU$11:BU21)</f>
        <v>0</v>
      </c>
      <c r="CA21" s="239">
        <f>SUM(BV$11:BV21)</f>
        <v>0</v>
      </c>
      <c r="CB21" s="253">
        <f>BC21*0.5</f>
        <v>0</v>
      </c>
      <c r="CC21" s="254"/>
      <c r="CD21" s="255"/>
      <c r="CE21" s="238">
        <f>SUM(CB$11:CB21)</f>
        <v>0</v>
      </c>
      <c r="CF21" s="242">
        <f>SUM(CC$11:CC21)</f>
        <v>0</v>
      </c>
      <c r="CG21" s="239">
        <f>SUM(CD$11:CD21)</f>
        <v>0</v>
      </c>
      <c r="CH21" s="256">
        <f>AH21+AJ21</f>
        <v>0</v>
      </c>
      <c r="CI21" s="238">
        <f>AG21+AI21+AK21+AL21+AM21+AN21+AO21+AP21</f>
        <v>0</v>
      </c>
      <c r="CJ21" s="243">
        <f>SUM(AZ21:BD21)</f>
        <v>0</v>
      </c>
      <c r="CK21" s="243">
        <f>SUM(BJ21:BM21)</f>
        <v>0</v>
      </c>
      <c r="CL21" s="243">
        <f>SUM(BR21:BV21)</f>
        <v>0</v>
      </c>
      <c r="CM21" s="257">
        <f>CC21</f>
        <v>0</v>
      </c>
      <c r="CN21" s="257">
        <f>CD21</f>
        <v>0</v>
      </c>
      <c r="CO21" s="258">
        <f>CI21-CJ21-CK21-CL21+CM21+CN21</f>
        <v>0</v>
      </c>
      <c r="CP21" s="101">
        <f>SUM(CH$11:CH21)</f>
        <v>0</v>
      </c>
      <c r="CQ21" s="259">
        <f>SUM(CI$11:CI21)</f>
        <v>0</v>
      </c>
      <c r="CR21" s="243">
        <f>SUM(CJ$11:CJ21)</f>
        <v>0</v>
      </c>
      <c r="CS21" s="243">
        <f>SUM(CK$11:CK21)</f>
        <v>0</v>
      </c>
      <c r="CT21" s="243">
        <f>SUM(CL$11:CL21)</f>
        <v>0</v>
      </c>
      <c r="CU21" s="257">
        <f>SUM(CM$11:CM21)</f>
        <v>0</v>
      </c>
      <c r="CV21" s="234">
        <f>SUM(CN$11:CN21)</f>
        <v>0</v>
      </c>
      <c r="CW21" s="260">
        <f>SUM(CO$11:CO21)</f>
        <v>0</v>
      </c>
    </row>
    <row r="22" spans="2:101" ht="12.75">
      <c r="B22" s="209">
        <v>41075</v>
      </c>
      <c r="C22" s="210" t="s">
        <v>128</v>
      </c>
      <c r="D22" s="211"/>
      <c r="E22" s="212"/>
      <c r="F22" s="213"/>
      <c r="G22" s="216"/>
      <c r="H22" s="214"/>
      <c r="I22" s="215"/>
      <c r="J22" s="329"/>
      <c r="K22" s="329" t="s">
        <v>129</v>
      </c>
      <c r="L22" s="348"/>
      <c r="M22" s="351"/>
      <c r="N22" s="111"/>
      <c r="O22" s="130"/>
      <c r="P22" s="349"/>
      <c r="Q22" s="349"/>
      <c r="R22" s="264"/>
      <c r="S22" s="350"/>
      <c r="T22" s="222"/>
      <c r="U22" s="151"/>
      <c r="V22" s="142">
        <v>31</v>
      </c>
      <c r="W22" s="224">
        <f>V22*$N$2+S43</f>
        <v>0</v>
      </c>
      <c r="X22" s="225">
        <f>AH22+AJ22</f>
        <v>0</v>
      </c>
      <c r="Y22" s="226">
        <f>AI22+AK22</f>
        <v>0</v>
      </c>
      <c r="Z22" s="151">
        <f>SUM(V$11:V22)</f>
        <v>341</v>
      </c>
      <c r="AA22" s="345">
        <f>CP22</f>
        <v>0</v>
      </c>
      <c r="AB22" s="151"/>
      <c r="AC22" s="346"/>
      <c r="AD22" s="229"/>
      <c r="AE22" s="347"/>
      <c r="AF22" s="229"/>
      <c r="AG22" s="232"/>
      <c r="AH22" s="235"/>
      <c r="AI22" s="234">
        <f>AH22*$N$2</f>
        <v>0</v>
      </c>
      <c r="AJ22" s="235"/>
      <c r="AK22" s="255">
        <f>AJ22*$N$2</f>
        <v>0</v>
      </c>
      <c r="AL22" s="236"/>
      <c r="AM22" s="236"/>
      <c r="AN22" s="238"/>
      <c r="AO22" s="238"/>
      <c r="AP22" s="239"/>
      <c r="AQ22" s="240">
        <f>SUM(AG$11:AG22)</f>
        <v>0</v>
      </c>
      <c r="AR22" s="241">
        <f>SUM(AH$11:AH22)</f>
        <v>0</v>
      </c>
      <c r="AS22" s="234">
        <f>SUM(AI$11:AI22)</f>
        <v>0</v>
      </c>
      <c r="AT22" s="233">
        <f>SUM(AJ$11:AJ22)</f>
        <v>0</v>
      </c>
      <c r="AU22" s="234">
        <f>SUM(AK$11:AK22)</f>
        <v>0</v>
      </c>
      <c r="AV22" s="242">
        <f>SUM(AM$11:AM22)</f>
        <v>0</v>
      </c>
      <c r="AW22" s="243">
        <f>SUM(AN$11:AN22)</f>
        <v>0</v>
      </c>
      <c r="AX22" s="238">
        <f>SUM(AO$11:AO22)</f>
        <v>0</v>
      </c>
      <c r="AY22" s="239">
        <f>SUM(AP$11:AP22)</f>
        <v>0</v>
      </c>
      <c r="AZ22" s="244"/>
      <c r="BA22" s="245"/>
      <c r="BB22" s="246"/>
      <c r="BC22" s="247">
        <f>0.1*(AI22+AK22+AL22-BB22)</f>
        <v>0</v>
      </c>
      <c r="BD22" s="244"/>
      <c r="BE22" s="248">
        <f>SUM(AZ$11:AZ22)</f>
        <v>0</v>
      </c>
      <c r="BF22" s="245">
        <f>SUM(BA$11:BA22)</f>
        <v>0</v>
      </c>
      <c r="BG22" s="245">
        <f>SUM(BB$11:BB22)</f>
        <v>0</v>
      </c>
      <c r="BH22" s="244">
        <f>SUM(BC$11:BC22)</f>
        <v>0</v>
      </c>
      <c r="BI22" s="245">
        <f>SUM(BD$11:BD22)</f>
        <v>0</v>
      </c>
      <c r="BJ22" s="249"/>
      <c r="BK22" s="238"/>
      <c r="BL22" s="243"/>
      <c r="BM22" s="336"/>
      <c r="BN22" s="243">
        <f>SUM(BJ$11:BJ22)</f>
        <v>0</v>
      </c>
      <c r="BO22" s="238">
        <f>SUM(BK$11:BK22)</f>
        <v>0</v>
      </c>
      <c r="BP22" s="243">
        <f>SUM(BL$11:BL22)</f>
        <v>0</v>
      </c>
      <c r="BQ22" s="239">
        <f>SUM(BM$11:BM22)</f>
        <v>0</v>
      </c>
      <c r="BR22" s="246">
        <f>AM22</f>
        <v>0</v>
      </c>
      <c r="BS22" s="251">
        <f>AN22</f>
        <v>0</v>
      </c>
      <c r="BT22" s="251">
        <f>AO22</f>
        <v>0</v>
      </c>
      <c r="BU22" s="251">
        <f>AP22</f>
        <v>0</v>
      </c>
      <c r="BV22" s="252">
        <f>(AI22+AK22+AL22)*0.0156</f>
        <v>0</v>
      </c>
      <c r="BW22" s="238">
        <f>SUM(BR$11:BR22)</f>
        <v>0</v>
      </c>
      <c r="BX22" s="238">
        <f>SUM(BS$11:BS22)</f>
        <v>0</v>
      </c>
      <c r="BY22" s="238">
        <f>SUM(BT$11:BT22)</f>
        <v>0</v>
      </c>
      <c r="BZ22" s="238">
        <f>SUM(BU$11:BU22)</f>
        <v>0</v>
      </c>
      <c r="CA22" s="239">
        <f>SUM(BV$11:BV22)</f>
        <v>0</v>
      </c>
      <c r="CB22" s="253">
        <f>BC22*0.5</f>
        <v>0</v>
      </c>
      <c r="CC22" s="254"/>
      <c r="CD22" s="255"/>
      <c r="CE22" s="238">
        <f>SUM(CB$11:CB22)</f>
        <v>0</v>
      </c>
      <c r="CF22" s="242">
        <f>SUM(CC$11:CC22)</f>
        <v>0</v>
      </c>
      <c r="CG22" s="239">
        <f>SUM(CD$11:CD22)</f>
        <v>0</v>
      </c>
      <c r="CH22" s="256">
        <f>AH22+AJ22</f>
        <v>0</v>
      </c>
      <c r="CI22" s="238">
        <f>AG22+AI22+AK22+AL22+AM22+AN22+AO22+AP22</f>
        <v>0</v>
      </c>
      <c r="CJ22" s="243">
        <f>SUM(AZ22:BD22)</f>
        <v>0</v>
      </c>
      <c r="CK22" s="243">
        <f>SUM(BJ22:BM22)</f>
        <v>0</v>
      </c>
      <c r="CL22" s="243">
        <f>SUM(BR22:BV22)</f>
        <v>0</v>
      </c>
      <c r="CM22" s="257">
        <f>CC22</f>
        <v>0</v>
      </c>
      <c r="CN22" s="257">
        <f>CD22</f>
        <v>0</v>
      </c>
      <c r="CO22" s="258">
        <f>CI22-CJ22-CK22-CL22+CM22+CN22</f>
        <v>0</v>
      </c>
      <c r="CP22" s="101">
        <f>SUM(CH$11:CH22)</f>
        <v>0</v>
      </c>
      <c r="CQ22" s="259">
        <f>SUM(CI$11:CI22)</f>
        <v>0</v>
      </c>
      <c r="CR22" s="243">
        <f>SUM(CJ$11:CJ22)</f>
        <v>0</v>
      </c>
      <c r="CS22" s="243">
        <f>SUM(CK$11:CK22)</f>
        <v>0</v>
      </c>
      <c r="CT22" s="243">
        <f>SUM(CL$11:CL22)</f>
        <v>0</v>
      </c>
      <c r="CU22" s="257">
        <f>SUM(CM$11:CM22)</f>
        <v>0</v>
      </c>
      <c r="CV22" s="234">
        <f>SUM(CN$11:CN22)</f>
        <v>0</v>
      </c>
      <c r="CW22" s="260">
        <f>SUM(CO$11:CO22)</f>
        <v>0</v>
      </c>
    </row>
    <row r="23" spans="2:101" ht="12.75">
      <c r="B23" s="209">
        <v>41090</v>
      </c>
      <c r="C23" s="261"/>
      <c r="D23" s="211"/>
      <c r="E23" s="212"/>
      <c r="F23" s="213"/>
      <c r="G23" s="216"/>
      <c r="H23" s="214"/>
      <c r="I23" s="215">
        <f>SUM(C23:G23)+K23</f>
        <v>0</v>
      </c>
      <c r="J23" s="269"/>
      <c r="K23" s="270"/>
      <c r="L23" s="218"/>
      <c r="M23" s="271"/>
      <c r="N23" s="272">
        <f>C23+D23/2.85+E23+K23*3.65</f>
        <v>0</v>
      </c>
      <c r="O23" s="273">
        <f>J23/4.95+K23*3.65</f>
        <v>0</v>
      </c>
      <c r="P23" s="213">
        <f>F23+G23/2.85</f>
        <v>0</v>
      </c>
      <c r="Q23" s="213">
        <f>L23/4.95</f>
        <v>0</v>
      </c>
      <c r="R23" s="264">
        <f>IF(M23=1,2,(IF(M23=2,6,IF(M23=3,12,IF(M23&gt;3,12+12*(M23-3),0)))))</f>
        <v>0</v>
      </c>
      <c r="S23" s="274">
        <f>IF(H23&gt;0,150+(50*(ROUNDUP(H23,0)-4)),0)</f>
        <v>0</v>
      </c>
      <c r="T23" s="222">
        <f>MAX(N23:O23,62)+MAX(P23:Q23)+R23</f>
        <v>62</v>
      </c>
      <c r="U23" s="151">
        <f>IF((I23)&gt;62,(I23),62)+(IF(M23&lt;3,M23*1.5*62/17,10.94+((M23-2)*1.75*62/17)))</f>
        <v>62</v>
      </c>
      <c r="V23" s="142">
        <f>MAX(31,I23-31,U23-31,31+(IF(M23&lt;3,M23*1.5*62/17,10.94+((M23-2)*1.75*62/17))))</f>
        <v>31</v>
      </c>
      <c r="W23" s="224">
        <f>V23*$N$2+S44</f>
        <v>0</v>
      </c>
      <c r="X23" s="225">
        <f>AH23+AJ23</f>
        <v>0</v>
      </c>
      <c r="Y23" s="226">
        <f>AI23+AK23</f>
        <v>0</v>
      </c>
      <c r="Z23" s="151">
        <f>SUM(V$11:V23)</f>
        <v>372</v>
      </c>
      <c r="AA23" s="345">
        <f>CP23</f>
        <v>0</v>
      </c>
      <c r="AB23" s="151"/>
      <c r="AC23" s="346">
        <f>AB23*2.4</f>
        <v>0</v>
      </c>
      <c r="AD23" s="229">
        <f>CC23+CD23</f>
        <v>0</v>
      </c>
      <c r="AE23" s="347">
        <f>SUM(AC$12:AC23)</f>
        <v>0</v>
      </c>
      <c r="AF23" s="229">
        <f>SUM(AD$12:AD23)</f>
        <v>0</v>
      </c>
      <c r="AG23" s="232"/>
      <c r="AH23" s="235"/>
      <c r="AI23" s="234">
        <f>AH23*$N$2</f>
        <v>0</v>
      </c>
      <c r="AJ23" s="235"/>
      <c r="AK23" s="255">
        <f>AJ23*$N$2</f>
        <v>0</v>
      </c>
      <c r="AL23" s="236"/>
      <c r="AM23" s="236"/>
      <c r="AN23" s="238"/>
      <c r="AO23" s="238"/>
      <c r="AP23" s="239"/>
      <c r="AQ23" s="240">
        <f>SUM(AG$11:AG23)</f>
        <v>0</v>
      </c>
      <c r="AR23" s="241">
        <f>SUM(AH$11:AH23)</f>
        <v>0</v>
      </c>
      <c r="AS23" s="234">
        <f>SUM(AI$11:AI23)</f>
        <v>0</v>
      </c>
      <c r="AT23" s="233">
        <f>SUM(AJ$11:AJ23)</f>
        <v>0</v>
      </c>
      <c r="AU23" s="234">
        <f>SUM(AK$11:AK23)</f>
        <v>0</v>
      </c>
      <c r="AV23" s="242">
        <f>SUM(AM$11:AM23)</f>
        <v>0</v>
      </c>
      <c r="AW23" s="243">
        <f>SUM(AN$11:AN23)</f>
        <v>0</v>
      </c>
      <c r="AX23" s="238">
        <f>SUM(AO$11:AO23)</f>
        <v>0</v>
      </c>
      <c r="AY23" s="239">
        <f>SUM(AP$11:AP23)</f>
        <v>0</v>
      </c>
      <c r="AZ23" s="244"/>
      <c r="BA23" s="245"/>
      <c r="BB23" s="246"/>
      <c r="BC23" s="247">
        <f>0.1*(AI23+AK23+AL23-BB23)</f>
        <v>0</v>
      </c>
      <c r="BD23" s="244"/>
      <c r="BE23" s="248">
        <f>SUM(AZ$11:AZ23)</f>
        <v>0</v>
      </c>
      <c r="BF23" s="245">
        <f>SUM(BA$11:BA23)</f>
        <v>0</v>
      </c>
      <c r="BG23" s="245">
        <f>SUM(BB$11:BB23)</f>
        <v>0</v>
      </c>
      <c r="BH23" s="244">
        <f>SUM(BC$11:BC23)</f>
        <v>0</v>
      </c>
      <c r="BI23" s="245">
        <f>SUM(BD$11:BD23)</f>
        <v>0</v>
      </c>
      <c r="BJ23" s="249"/>
      <c r="BK23" s="238"/>
      <c r="BL23" s="243"/>
      <c r="BM23" s="336"/>
      <c r="BN23" s="243">
        <f>SUM(BJ$11:BJ23)</f>
        <v>0</v>
      </c>
      <c r="BO23" s="238">
        <f>SUM(BK$11:BK23)</f>
        <v>0</v>
      </c>
      <c r="BP23" s="243">
        <f>SUM(BL$11:BL23)</f>
        <v>0</v>
      </c>
      <c r="BQ23" s="239">
        <f>SUM(BM$11:BM23)</f>
        <v>0</v>
      </c>
      <c r="BR23" s="246">
        <f>AM23</f>
        <v>0</v>
      </c>
      <c r="BS23" s="251">
        <f>AN23</f>
        <v>0</v>
      </c>
      <c r="BT23" s="251">
        <f>AO23</f>
        <v>0</v>
      </c>
      <c r="BU23" s="251">
        <f>AP23</f>
        <v>0</v>
      </c>
      <c r="BV23" s="252">
        <f>(AI23+AK23+AL23)*0.0156</f>
        <v>0</v>
      </c>
      <c r="BW23" s="238">
        <f>SUM(BR$11:BR23)</f>
        <v>0</v>
      </c>
      <c r="BX23" s="238">
        <f>SUM(BS$11:BS23)</f>
        <v>0</v>
      </c>
      <c r="BY23" s="238">
        <f>SUM(BT$11:BT23)</f>
        <v>0</v>
      </c>
      <c r="BZ23" s="238">
        <f>SUM(BU$11:BU23)</f>
        <v>0</v>
      </c>
      <c r="CA23" s="239">
        <f>SUM(BV$11:BV23)</f>
        <v>0</v>
      </c>
      <c r="CB23" s="253">
        <f>BC23*0.5</f>
        <v>0</v>
      </c>
      <c r="CC23" s="254"/>
      <c r="CD23" s="255"/>
      <c r="CE23" s="238">
        <f>SUM(CB$11:CB23)</f>
        <v>0</v>
      </c>
      <c r="CF23" s="242">
        <f>SUM(CC$11:CC23)</f>
        <v>0</v>
      </c>
      <c r="CG23" s="239">
        <f>SUM(CD$11:CD23)</f>
        <v>0</v>
      </c>
      <c r="CH23" s="256">
        <f>AH23+AJ23</f>
        <v>0</v>
      </c>
      <c r="CI23" s="238">
        <f>AG23+AI23+AK23+AL23+AM23+AN23+AO23+AP23</f>
        <v>0</v>
      </c>
      <c r="CJ23" s="243">
        <f>SUM(AZ23:BD23)</f>
        <v>0</v>
      </c>
      <c r="CK23" s="243">
        <f>SUM(BJ23:BM23)</f>
        <v>0</v>
      </c>
      <c r="CL23" s="243">
        <f>SUM(BR23:BV23)</f>
        <v>0</v>
      </c>
      <c r="CM23" s="257">
        <f>CC23</f>
        <v>0</v>
      </c>
      <c r="CN23" s="257">
        <f>CD23</f>
        <v>0</v>
      </c>
      <c r="CO23" s="258">
        <f>CI23-CJ23-CK23-CL23+CM23+CN23</f>
        <v>0</v>
      </c>
      <c r="CP23" s="101">
        <f>SUM(CH$11:CH23)</f>
        <v>0</v>
      </c>
      <c r="CQ23" s="259">
        <f>SUM(CI$11:CI23)</f>
        <v>0</v>
      </c>
      <c r="CR23" s="243">
        <f>SUM(CJ$11:CJ23)</f>
        <v>0</v>
      </c>
      <c r="CS23" s="243">
        <f>SUM(CK$11:CK23)</f>
        <v>0</v>
      </c>
      <c r="CT23" s="243">
        <f>SUM(CL$11:CL23)</f>
        <v>0</v>
      </c>
      <c r="CU23" s="257">
        <f>SUM(CM$11:CM23)</f>
        <v>0</v>
      </c>
      <c r="CV23" s="234">
        <f>SUM(CN$11:CN23)</f>
        <v>0</v>
      </c>
      <c r="CW23" s="260">
        <f>SUM(CO$11:CO23)</f>
        <v>0</v>
      </c>
    </row>
    <row r="24" spans="2:101" ht="12.75">
      <c r="B24" s="209">
        <v>41105</v>
      </c>
      <c r="C24" s="210" t="s">
        <v>130</v>
      </c>
      <c r="D24" s="211"/>
      <c r="E24" s="212"/>
      <c r="F24" s="213"/>
      <c r="G24" s="216"/>
      <c r="H24" s="214"/>
      <c r="I24" s="215"/>
      <c r="J24" s="352"/>
      <c r="K24" s="329"/>
      <c r="L24" s="218"/>
      <c r="M24" s="271"/>
      <c r="N24" s="107"/>
      <c r="O24" s="353"/>
      <c r="P24" s="213"/>
      <c r="Q24" s="213"/>
      <c r="R24" s="264"/>
      <c r="S24" s="354"/>
      <c r="T24" s="222"/>
      <c r="U24" s="151"/>
      <c r="V24" s="223">
        <v>31</v>
      </c>
      <c r="W24" s="224">
        <f>V24*$N$2+S45</f>
        <v>0</v>
      </c>
      <c r="X24" s="225">
        <f>AH24+AJ24</f>
        <v>0</v>
      </c>
      <c r="Y24" s="226">
        <f>AI24+AK24</f>
        <v>0</v>
      </c>
      <c r="Z24" s="151">
        <f>SUM(V$11:V24)</f>
        <v>403</v>
      </c>
      <c r="AA24" s="227">
        <f>CP24</f>
        <v>0</v>
      </c>
      <c r="AB24" s="151"/>
      <c r="AC24" s="228"/>
      <c r="AD24" s="229"/>
      <c r="AE24" s="230"/>
      <c r="AF24" s="231"/>
      <c r="AG24" s="232"/>
      <c r="AH24" s="233"/>
      <c r="AI24" s="234">
        <f>AH24*$N$2</f>
        <v>0</v>
      </c>
      <c r="AJ24" s="235"/>
      <c r="AK24" s="255">
        <f>AJ24*$N$2</f>
        <v>0</v>
      </c>
      <c r="AL24" s="236"/>
      <c r="AM24" s="236"/>
      <c r="AN24" s="238"/>
      <c r="AO24" s="238"/>
      <c r="AP24" s="239"/>
      <c r="AQ24" s="240">
        <f>SUM(AG$11:AG24)</f>
        <v>0</v>
      </c>
      <c r="AR24" s="241">
        <f>SUM(AH$11:AH24)</f>
        <v>0</v>
      </c>
      <c r="AS24" s="234">
        <f>SUM(AI$11:AI24)</f>
        <v>0</v>
      </c>
      <c r="AT24" s="233">
        <f>SUM(AJ$11:AJ24)</f>
        <v>0</v>
      </c>
      <c r="AU24" s="234">
        <f>SUM(AK$11:AK24)</f>
        <v>0</v>
      </c>
      <c r="AV24" s="242">
        <f>SUM(AM$11:AM24)</f>
        <v>0</v>
      </c>
      <c r="AW24" s="243">
        <f>SUM(AN$11:AN24)</f>
        <v>0</v>
      </c>
      <c r="AX24" s="238">
        <f>SUM(AO$11:AO24)</f>
        <v>0</v>
      </c>
      <c r="AY24" s="239">
        <f>SUM(AP$11:AP24)</f>
        <v>0</v>
      </c>
      <c r="AZ24" s="244"/>
      <c r="BA24" s="245"/>
      <c r="BB24" s="246"/>
      <c r="BC24" s="247">
        <f>0.1*(AI24+AK24+AL24-BB24)</f>
        <v>0</v>
      </c>
      <c r="BD24" s="244"/>
      <c r="BE24" s="248">
        <f>SUM(AZ$11:AZ24)</f>
        <v>0</v>
      </c>
      <c r="BF24" s="245">
        <f>SUM(BA$11:BA24)</f>
        <v>0</v>
      </c>
      <c r="BG24" s="245">
        <f>SUM(BB$11:BB24)</f>
        <v>0</v>
      </c>
      <c r="BH24" s="244">
        <f>SUM(BC$11:BC24)</f>
        <v>0</v>
      </c>
      <c r="BI24" s="245">
        <f>SUM(BD$11:BD24)</f>
        <v>0</v>
      </c>
      <c r="BJ24" s="249"/>
      <c r="BK24" s="238"/>
      <c r="BL24" s="243"/>
      <c r="BM24" s="336"/>
      <c r="BN24" s="243">
        <f>SUM(BJ$11:BJ24)</f>
        <v>0</v>
      </c>
      <c r="BO24" s="238">
        <f>SUM(BK$11:BK24)</f>
        <v>0</v>
      </c>
      <c r="BP24" s="243">
        <f>SUM(BL$11:BL24)</f>
        <v>0</v>
      </c>
      <c r="BQ24" s="239">
        <f>SUM(BM$11:BM24)</f>
        <v>0</v>
      </c>
      <c r="BR24" s="246">
        <f>AM24</f>
        <v>0</v>
      </c>
      <c r="BS24" s="251">
        <f>AN24</f>
        <v>0</v>
      </c>
      <c r="BT24" s="251">
        <f>AO24</f>
        <v>0</v>
      </c>
      <c r="BU24" s="251">
        <f>AP24</f>
        <v>0</v>
      </c>
      <c r="BV24" s="252">
        <f>(AI24+AK24+AL24)*0.0156</f>
        <v>0</v>
      </c>
      <c r="BW24" s="238">
        <f>SUM(BR$11:BR24)</f>
        <v>0</v>
      </c>
      <c r="BX24" s="238">
        <f>SUM(BS$11:BS24)</f>
        <v>0</v>
      </c>
      <c r="BY24" s="238">
        <f>SUM(BT$11:BT24)</f>
        <v>0</v>
      </c>
      <c r="BZ24" s="238">
        <f>SUM(BU$11:BU24)</f>
        <v>0</v>
      </c>
      <c r="CA24" s="239">
        <f>SUM(BV$11:BV24)</f>
        <v>0</v>
      </c>
      <c r="CB24" s="253">
        <f>BC24*0.5</f>
        <v>0</v>
      </c>
      <c r="CC24" s="254"/>
      <c r="CD24" s="255"/>
      <c r="CE24" s="238">
        <f>SUM(CB$11:CB24)</f>
        <v>0</v>
      </c>
      <c r="CF24" s="242">
        <f>SUM(CC$11:CC24)</f>
        <v>0</v>
      </c>
      <c r="CG24" s="239">
        <f>SUM(CD$11:CD24)</f>
        <v>0</v>
      </c>
      <c r="CH24" s="256">
        <f>AH24+AJ24</f>
        <v>0</v>
      </c>
      <c r="CI24" s="238">
        <f>AG24+AI24+AK24+AL24+AM24+AN24+AO24+AP24</f>
        <v>0</v>
      </c>
      <c r="CJ24" s="243">
        <f>SUM(AZ24:BD24)</f>
        <v>0</v>
      </c>
      <c r="CK24" s="243">
        <f>SUM(BJ24:BM24)</f>
        <v>0</v>
      </c>
      <c r="CL24" s="243">
        <f>SUM(BR24:BV24)</f>
        <v>0</v>
      </c>
      <c r="CM24" s="257">
        <f>CC24</f>
        <v>0</v>
      </c>
      <c r="CN24" s="257">
        <f>CD24</f>
        <v>0</v>
      </c>
      <c r="CO24" s="258">
        <f>CI24-CJ24-CK24-CL24+CM24+CN24</f>
        <v>0</v>
      </c>
      <c r="CP24" s="101">
        <f>SUM(CH$11:CH24)</f>
        <v>0</v>
      </c>
      <c r="CQ24" s="259">
        <f>SUM(CI$11:CI24)</f>
        <v>0</v>
      </c>
      <c r="CR24" s="243">
        <f>SUM(CJ$11:CJ24)</f>
        <v>0</v>
      </c>
      <c r="CS24" s="243">
        <f>SUM(CK$11:CK24)</f>
        <v>0</v>
      </c>
      <c r="CT24" s="243">
        <f>SUM(CL$11:CL24)</f>
        <v>0</v>
      </c>
      <c r="CU24" s="257">
        <f>SUM(CM$11:CM24)</f>
        <v>0</v>
      </c>
      <c r="CV24" s="234">
        <f>SUM(CN$11:CN24)</f>
        <v>0</v>
      </c>
      <c r="CW24" s="260">
        <f>SUM(CO$11:CO24)</f>
        <v>0</v>
      </c>
    </row>
    <row r="25" spans="2:101" ht="12.75">
      <c r="B25" s="209">
        <v>41121</v>
      </c>
      <c r="C25" s="261"/>
      <c r="D25" s="211"/>
      <c r="E25" s="212"/>
      <c r="F25" s="213"/>
      <c r="G25" s="216"/>
      <c r="H25" s="214"/>
      <c r="I25" s="215">
        <f>SUM(C25:G25)+K25</f>
        <v>0</v>
      </c>
      <c r="J25" s="211"/>
      <c r="K25" s="263"/>
      <c r="L25" s="218"/>
      <c r="M25" s="271"/>
      <c r="N25" s="92">
        <f>C25+D25/2.85+E25+K25*3.65</f>
        <v>0</v>
      </c>
      <c r="O25" s="212">
        <f>J25/4.95+K25*3.65</f>
        <v>0</v>
      </c>
      <c r="P25" s="213">
        <f>F25+G25/2.85</f>
        <v>0</v>
      </c>
      <c r="Q25" s="213">
        <f>L25/4.95</f>
        <v>0</v>
      </c>
      <c r="R25" s="264">
        <f>IF(M25=1,2,(IF(M25=2,6,IF(M25=3,12,IF(M25&gt;3,12+12*(M25-3),0)))))</f>
        <v>0</v>
      </c>
      <c r="S25" s="265">
        <f>IF(H25&gt;0,150+(50*(ROUNDUP(H25,0)-4)),0)</f>
        <v>0</v>
      </c>
      <c r="T25" s="222">
        <f>MAX(N25:O25,62)+MAX(P25:Q25)+R25</f>
        <v>62</v>
      </c>
      <c r="U25" s="151">
        <f>IF((I25)&gt;62,(I25),62)+(IF(M25&lt;3,M25*1.5*62/17,10.94+((M25-2)*1.75*62/17)))</f>
        <v>62</v>
      </c>
      <c r="V25" s="223">
        <f>MAX(31,I25-31,U25-31,31+(IF(M25&lt;3,M25*1.5*62/17,10.94+((M25-2)*1.75*62/17))))</f>
        <v>31</v>
      </c>
      <c r="W25" s="224">
        <f>V25*$N$2+S46</f>
        <v>0</v>
      </c>
      <c r="X25" s="225">
        <f>AH25+AJ25</f>
        <v>0</v>
      </c>
      <c r="Y25" s="226">
        <f>AI25+AK25</f>
        <v>0</v>
      </c>
      <c r="Z25" s="151">
        <f>SUM(V$11:V25)</f>
        <v>434</v>
      </c>
      <c r="AA25" s="227">
        <f>CP25</f>
        <v>0</v>
      </c>
      <c r="AB25" s="151"/>
      <c r="AC25" s="228">
        <f>AB25*2.4</f>
        <v>0</v>
      </c>
      <c r="AD25" s="229">
        <f>CC25+CD25</f>
        <v>0</v>
      </c>
      <c r="AE25" s="230">
        <f>SUM(AC$12:AC25)</f>
        <v>0</v>
      </c>
      <c r="AF25" s="231">
        <f>SUM(AD$12:AD25)</f>
        <v>0</v>
      </c>
      <c r="AG25" s="232"/>
      <c r="AH25" s="233"/>
      <c r="AI25" s="234">
        <f>AH25*$N$2</f>
        <v>0</v>
      </c>
      <c r="AJ25" s="235"/>
      <c r="AK25" s="255">
        <f>AJ25*$N$2</f>
        <v>0</v>
      </c>
      <c r="AL25" s="236"/>
      <c r="AM25" s="236"/>
      <c r="AN25" s="238"/>
      <c r="AO25" s="238"/>
      <c r="AP25" s="239"/>
      <c r="AQ25" s="240">
        <f>SUM(AG$11:AG25)</f>
        <v>0</v>
      </c>
      <c r="AR25" s="241">
        <f>SUM(AH$11:AH25)</f>
        <v>0</v>
      </c>
      <c r="AS25" s="234">
        <f>SUM(AI$11:AI25)</f>
        <v>0</v>
      </c>
      <c r="AT25" s="233">
        <f>SUM(AJ$11:AJ25)</f>
        <v>0</v>
      </c>
      <c r="AU25" s="234">
        <f>SUM(AK$11:AK25)</f>
        <v>0</v>
      </c>
      <c r="AV25" s="242">
        <f>SUM(AM$11:AM25)</f>
        <v>0</v>
      </c>
      <c r="AW25" s="243">
        <f>SUM(AN$11:AN25)</f>
        <v>0</v>
      </c>
      <c r="AX25" s="238">
        <f>SUM(AO$11:AO25)</f>
        <v>0</v>
      </c>
      <c r="AY25" s="239">
        <f>SUM(AP$11:AP25)</f>
        <v>0</v>
      </c>
      <c r="AZ25" s="244"/>
      <c r="BA25" s="245"/>
      <c r="BB25" s="246"/>
      <c r="BC25" s="247">
        <f>0.1*(AI25+AK25+AL25-BB25)</f>
        <v>0</v>
      </c>
      <c r="BD25" s="244"/>
      <c r="BE25" s="248">
        <f>SUM(AZ$11:AZ25)</f>
        <v>0</v>
      </c>
      <c r="BF25" s="245">
        <f>SUM(BA$11:BA25)</f>
        <v>0</v>
      </c>
      <c r="BG25" s="245">
        <f>SUM(BB$11:BB25)</f>
        <v>0</v>
      </c>
      <c r="BH25" s="244">
        <f>SUM(BC$11:BC25)</f>
        <v>0</v>
      </c>
      <c r="BI25" s="245">
        <f>SUM(BD$11:BD25)</f>
        <v>0</v>
      </c>
      <c r="BJ25" s="249"/>
      <c r="BK25" s="238"/>
      <c r="BL25" s="243"/>
      <c r="BM25" s="336"/>
      <c r="BN25" s="243">
        <f>SUM(BJ$11:BJ25)</f>
        <v>0</v>
      </c>
      <c r="BO25" s="238">
        <f>SUM(BK$11:BK25)</f>
        <v>0</v>
      </c>
      <c r="BP25" s="243">
        <f>SUM(BL$11:BL25)</f>
        <v>0</v>
      </c>
      <c r="BQ25" s="239">
        <f>SUM(BM$11:BM25)</f>
        <v>0</v>
      </c>
      <c r="BR25" s="246">
        <f>AM25</f>
        <v>0</v>
      </c>
      <c r="BS25" s="251">
        <f>AN25</f>
        <v>0</v>
      </c>
      <c r="BT25" s="251">
        <f>AO25</f>
        <v>0</v>
      </c>
      <c r="BU25" s="251">
        <f>AP25</f>
        <v>0</v>
      </c>
      <c r="BV25" s="252">
        <f>(AI25+AK25+AL25)*0.0156</f>
        <v>0</v>
      </c>
      <c r="BW25" s="238">
        <f>SUM(BR$11:BR25)</f>
        <v>0</v>
      </c>
      <c r="BX25" s="238">
        <f>SUM(BS$11:BS25)</f>
        <v>0</v>
      </c>
      <c r="BY25" s="238">
        <f>SUM(BT$11:BT25)</f>
        <v>0</v>
      </c>
      <c r="BZ25" s="238">
        <f>SUM(BU$11:BU25)</f>
        <v>0</v>
      </c>
      <c r="CA25" s="239">
        <f>SUM(BV$11:BV25)</f>
        <v>0</v>
      </c>
      <c r="CB25" s="253">
        <f>BC25*0.5</f>
        <v>0</v>
      </c>
      <c r="CC25" s="254"/>
      <c r="CD25" s="255"/>
      <c r="CE25" s="238">
        <f>SUM(CB$11:CB25)</f>
        <v>0</v>
      </c>
      <c r="CF25" s="242">
        <f>SUM(CC$11:CC25)</f>
        <v>0</v>
      </c>
      <c r="CG25" s="239">
        <f>SUM(CD$11:CD25)</f>
        <v>0</v>
      </c>
      <c r="CH25" s="256">
        <f>AH25+AJ25</f>
        <v>0</v>
      </c>
      <c r="CI25" s="238">
        <f>AG25+AI25+AK25+AL25+AM25+AN25+AO25+AP25</f>
        <v>0</v>
      </c>
      <c r="CJ25" s="243">
        <f>SUM(AZ25:BD25)</f>
        <v>0</v>
      </c>
      <c r="CK25" s="243">
        <f>SUM(BJ25:BM25)</f>
        <v>0</v>
      </c>
      <c r="CL25" s="243">
        <f>SUM(BR25:BV25)</f>
        <v>0</v>
      </c>
      <c r="CM25" s="257">
        <f>CC25</f>
        <v>0</v>
      </c>
      <c r="CN25" s="257">
        <f>CD25</f>
        <v>0</v>
      </c>
      <c r="CO25" s="258">
        <f>CI25-CJ25-CK25-CL25+CM25+CN25</f>
        <v>0</v>
      </c>
      <c r="CP25" s="101">
        <f>SUM(CH$11:CH25)</f>
        <v>0</v>
      </c>
      <c r="CQ25" s="259">
        <f>SUM(CI$11:CI25)</f>
        <v>0</v>
      </c>
      <c r="CR25" s="243">
        <f>SUM(CJ$11:CJ25)</f>
        <v>0</v>
      </c>
      <c r="CS25" s="243">
        <f>SUM(CK$11:CK25)</f>
        <v>0</v>
      </c>
      <c r="CT25" s="243">
        <f>SUM(CL$11:CL25)</f>
        <v>0</v>
      </c>
      <c r="CU25" s="257">
        <f>SUM(CM$11:CM25)</f>
        <v>0</v>
      </c>
      <c r="CV25" s="234">
        <f>SUM(CN$11:CN25)</f>
        <v>0</v>
      </c>
      <c r="CW25" s="260">
        <f>SUM(CO$11:CO25)</f>
        <v>0</v>
      </c>
    </row>
    <row r="26" spans="2:101" ht="12.75">
      <c r="B26" s="209">
        <v>41136</v>
      </c>
      <c r="C26" s="210" t="s">
        <v>131</v>
      </c>
      <c r="D26" s="211"/>
      <c r="E26" s="212"/>
      <c r="F26" s="213"/>
      <c r="G26" s="216"/>
      <c r="H26" s="214"/>
      <c r="I26" s="215"/>
      <c r="J26" s="355"/>
      <c r="K26" s="356"/>
      <c r="L26" s="357"/>
      <c r="M26" s="271"/>
      <c r="N26" s="358"/>
      <c r="O26" s="359"/>
      <c r="P26" s="360"/>
      <c r="Q26" s="360"/>
      <c r="R26" s="361"/>
      <c r="S26" s="362"/>
      <c r="T26" s="222"/>
      <c r="U26" s="151"/>
      <c r="V26" s="223">
        <v>31</v>
      </c>
      <c r="W26" s="224">
        <f>V26*$N$2+S47</f>
        <v>0</v>
      </c>
      <c r="X26" s="225">
        <f>AH26+AJ26</f>
        <v>0</v>
      </c>
      <c r="Y26" s="226">
        <f>AI26+AK26</f>
        <v>0</v>
      </c>
      <c r="Z26" s="151">
        <f>SUM(V$11:V26)</f>
        <v>465</v>
      </c>
      <c r="AA26" s="345">
        <f>CP26</f>
        <v>0</v>
      </c>
      <c r="AB26" s="151"/>
      <c r="AC26" s="228"/>
      <c r="AD26" s="229"/>
      <c r="AE26" s="230"/>
      <c r="AF26" s="231"/>
      <c r="AG26" s="232"/>
      <c r="AH26" s="233"/>
      <c r="AI26" s="234">
        <f>AH26*$N$2</f>
        <v>0</v>
      </c>
      <c r="AJ26" s="235"/>
      <c r="AK26" s="255">
        <f>AJ26*$N$2</f>
        <v>0</v>
      </c>
      <c r="AL26" s="236"/>
      <c r="AM26" s="363"/>
      <c r="AN26" s="238"/>
      <c r="AO26" s="238"/>
      <c r="AP26" s="239"/>
      <c r="AQ26" s="240">
        <f>SUM(AG$11:AG26)</f>
        <v>0</v>
      </c>
      <c r="AR26" s="241">
        <f>SUM(AH$11:AH26)</f>
        <v>0</v>
      </c>
      <c r="AS26" s="234">
        <f>SUM(AI$11:AI26)</f>
        <v>0</v>
      </c>
      <c r="AT26" s="233">
        <f>SUM(AJ$11:AJ26)</f>
        <v>0</v>
      </c>
      <c r="AU26" s="234">
        <f>SUM(AK$11:AK26)</f>
        <v>0</v>
      </c>
      <c r="AV26" s="242">
        <f>SUM(AM$11:AM26)</f>
        <v>0</v>
      </c>
      <c r="AW26" s="243">
        <f>SUM(AN$11:AN26)</f>
        <v>0</v>
      </c>
      <c r="AX26" s="238">
        <f>SUM(AO$11:AO26)</f>
        <v>0</v>
      </c>
      <c r="AY26" s="239">
        <f>SUM(AP$11:AP26)</f>
        <v>0</v>
      </c>
      <c r="AZ26" s="244"/>
      <c r="BA26" s="245"/>
      <c r="BB26" s="246"/>
      <c r="BC26" s="247">
        <f>0.1*(AI26+AK26+AL26-BB26)</f>
        <v>0</v>
      </c>
      <c r="BD26" s="244"/>
      <c r="BE26" s="248">
        <f>SUM(AZ$11:AZ26)</f>
        <v>0</v>
      </c>
      <c r="BF26" s="245">
        <f>SUM(BA$11:BA26)</f>
        <v>0</v>
      </c>
      <c r="BG26" s="245">
        <f>SUM(BB$11:BB26)</f>
        <v>0</v>
      </c>
      <c r="BH26" s="244">
        <f>SUM(BC$11:BC26)</f>
        <v>0</v>
      </c>
      <c r="BI26" s="245">
        <f>SUM(BD$11:BD26)</f>
        <v>0</v>
      </c>
      <c r="BJ26" s="249"/>
      <c r="BK26" s="238"/>
      <c r="BL26" s="243"/>
      <c r="BM26" s="336"/>
      <c r="BN26" s="243">
        <f>SUM(BJ$11:BJ26)</f>
        <v>0</v>
      </c>
      <c r="BO26" s="238">
        <f>SUM(BK$11:BK26)</f>
        <v>0</v>
      </c>
      <c r="BP26" s="243">
        <f>SUM(BL$11:BL26)</f>
        <v>0</v>
      </c>
      <c r="BQ26" s="239">
        <f>SUM(BM$11:BM26)</f>
        <v>0</v>
      </c>
      <c r="BR26" s="246">
        <f>AM26</f>
        <v>0</v>
      </c>
      <c r="BS26" s="251">
        <f>AN26</f>
        <v>0</v>
      </c>
      <c r="BT26" s="251">
        <f>AO26</f>
        <v>0</v>
      </c>
      <c r="BU26" s="251">
        <f>AP26</f>
        <v>0</v>
      </c>
      <c r="BV26" s="252">
        <f>(AI26+AK26+AL26)*0.0156</f>
        <v>0</v>
      </c>
      <c r="BW26" s="238">
        <f>SUM(BR$11:BR26)</f>
        <v>0</v>
      </c>
      <c r="BX26" s="238">
        <f>SUM(BS$11:BS26)</f>
        <v>0</v>
      </c>
      <c r="BY26" s="238">
        <f>SUM(BT$11:BT26)</f>
        <v>0</v>
      </c>
      <c r="BZ26" s="238">
        <f>SUM(BU$11:BU26)</f>
        <v>0</v>
      </c>
      <c r="CA26" s="239">
        <f>SUM(BV$11:BV26)</f>
        <v>0</v>
      </c>
      <c r="CB26" s="253">
        <f>BC26*0.5</f>
        <v>0</v>
      </c>
      <c r="CC26" s="254"/>
      <c r="CD26" s="255"/>
      <c r="CE26" s="238">
        <f>SUM(CB$11:CB26)</f>
        <v>0</v>
      </c>
      <c r="CF26" s="242">
        <f>SUM(CC$11:CC26)</f>
        <v>0</v>
      </c>
      <c r="CG26" s="239">
        <f>SUM(CD$11:CD26)</f>
        <v>0</v>
      </c>
      <c r="CH26" s="256">
        <f>AH26+AJ26</f>
        <v>0</v>
      </c>
      <c r="CI26" s="238">
        <f>AG26+AI26+AK26+AL26+AM26+AN26+AO26+AP26</f>
        <v>0</v>
      </c>
      <c r="CJ26" s="243">
        <f>SUM(AZ26:BD26)</f>
        <v>0</v>
      </c>
      <c r="CK26" s="243">
        <f>SUM(BJ26:BM26)</f>
        <v>0</v>
      </c>
      <c r="CL26" s="243">
        <f>SUM(BR26:BV26)</f>
        <v>0</v>
      </c>
      <c r="CM26" s="257">
        <f>CC26</f>
        <v>0</v>
      </c>
      <c r="CN26" s="257">
        <f>CD26</f>
        <v>0</v>
      </c>
      <c r="CO26" s="258">
        <f>CI26-CJ26-CK26-CL26+CM26+CN26</f>
        <v>0</v>
      </c>
      <c r="CP26" s="101">
        <f>SUM(CH$11:CH26)</f>
        <v>0</v>
      </c>
      <c r="CQ26" s="259">
        <f>SUM(CI$11:CI26)</f>
        <v>0</v>
      </c>
      <c r="CR26" s="243">
        <f>SUM(CJ$11:CJ26)</f>
        <v>0</v>
      </c>
      <c r="CS26" s="243">
        <f>SUM(CK$11:CK26)</f>
        <v>0</v>
      </c>
      <c r="CT26" s="243">
        <f>SUM(CL$11:CL26)</f>
        <v>0</v>
      </c>
      <c r="CU26" s="257">
        <f>SUM(CM$11:CM26)</f>
        <v>0</v>
      </c>
      <c r="CV26" s="234">
        <f>SUM(CN$11:CN26)</f>
        <v>0</v>
      </c>
      <c r="CW26" s="260">
        <f>SUM(CO$11:CO26)</f>
        <v>0</v>
      </c>
    </row>
    <row r="27" spans="2:101" ht="12.75">
      <c r="B27" s="209">
        <v>41152</v>
      </c>
      <c r="C27" s="261"/>
      <c r="D27" s="211"/>
      <c r="E27" s="212"/>
      <c r="F27" s="213"/>
      <c r="G27" s="216"/>
      <c r="H27" s="214"/>
      <c r="I27" s="215">
        <f>SUM(C27:G27)+K27</f>
        <v>0</v>
      </c>
      <c r="J27" s="211"/>
      <c r="K27" s="263"/>
      <c r="L27" s="218"/>
      <c r="M27" s="271"/>
      <c r="N27" s="92">
        <f>C27+D27/2.85+E27+K27*3.65</f>
        <v>0</v>
      </c>
      <c r="O27" s="212">
        <f>J27/4.95+K27*3.65</f>
        <v>0</v>
      </c>
      <c r="P27" s="213">
        <f>F27+G27/2.85</f>
        <v>0</v>
      </c>
      <c r="Q27" s="213">
        <f>L27/4.95</f>
        <v>0</v>
      </c>
      <c r="R27" s="264">
        <f>IF(M27=1,2,(IF(M27=2,6,IF(M27=3,12,IF(M27&gt;3,12+12*(M27-3),0)))))</f>
        <v>0</v>
      </c>
      <c r="S27" s="265">
        <f>IF(H27&gt;0,150+(50*(ROUNDUP(H27,0)-4)),0)</f>
        <v>0</v>
      </c>
      <c r="T27" s="222">
        <f>MAX(N27:O27,62)+MAX(P27:Q27)+R27</f>
        <v>62</v>
      </c>
      <c r="U27" s="151">
        <f>IF((I27)&gt;62,(I27),62)+(IF(M27&lt;3,M27*1.5*62/17,10.94+((M27-2)*1.75*62/17)))</f>
        <v>62</v>
      </c>
      <c r="V27" s="142">
        <f>MAX(31,I27-31,U27-31,31+(IF(M27&lt;3,M27*1.5*62/17,10.94+((M27-2)*1.75*62/17))))</f>
        <v>31</v>
      </c>
      <c r="W27" s="224">
        <f>V27*$N$2+S48</f>
        <v>0</v>
      </c>
      <c r="X27" s="225">
        <f>AH27+AJ27</f>
        <v>0</v>
      </c>
      <c r="Y27" s="226">
        <f>AI27+AK27</f>
        <v>0</v>
      </c>
      <c r="Z27" s="151">
        <f>SUM(V$11:V27)</f>
        <v>496</v>
      </c>
      <c r="AA27" s="345">
        <f>CP27</f>
        <v>0</v>
      </c>
      <c r="AB27" s="151"/>
      <c r="AC27" s="228">
        <f>AB27*2.4</f>
        <v>0</v>
      </c>
      <c r="AD27" s="229">
        <f>CC27+CD27</f>
        <v>0</v>
      </c>
      <c r="AE27" s="230">
        <f>SUM(AC$12:AC27)</f>
        <v>0</v>
      </c>
      <c r="AF27" s="231">
        <f>SUM(AD$12:AD27)</f>
        <v>0</v>
      </c>
      <c r="AG27" s="232"/>
      <c r="AH27" s="235"/>
      <c r="AI27" s="234">
        <f>AH27*$N$2</f>
        <v>0</v>
      </c>
      <c r="AJ27" s="235"/>
      <c r="AK27" s="255">
        <f>AJ27*$N$2</f>
        <v>0</v>
      </c>
      <c r="AL27" s="363"/>
      <c r="AM27" s="363"/>
      <c r="AN27" s="238"/>
      <c r="AO27" s="238"/>
      <c r="AP27" s="239"/>
      <c r="AQ27" s="240">
        <f>SUM(AG$11:AG27)</f>
        <v>0</v>
      </c>
      <c r="AR27" s="241">
        <f>SUM(AH$11:AH27)</f>
        <v>0</v>
      </c>
      <c r="AS27" s="234">
        <f>SUM(AI$11:AI27)</f>
        <v>0</v>
      </c>
      <c r="AT27" s="233">
        <f>SUM(AJ$11:AJ27)</f>
        <v>0</v>
      </c>
      <c r="AU27" s="234">
        <f>SUM(AK$11:AK27)</f>
        <v>0</v>
      </c>
      <c r="AV27" s="242">
        <f>SUM(AM$11:AM27)</f>
        <v>0</v>
      </c>
      <c r="AW27" s="243">
        <f>SUM(AN$11:AN27)</f>
        <v>0</v>
      </c>
      <c r="AX27" s="238">
        <f>SUM(AO$11:AO27)</f>
        <v>0</v>
      </c>
      <c r="AY27" s="239">
        <f>SUM(AP$11:AP27)</f>
        <v>0</v>
      </c>
      <c r="AZ27" s="244"/>
      <c r="BA27" s="245"/>
      <c r="BB27" s="246"/>
      <c r="BC27" s="247">
        <f>0.1*(AI27+AK27+AL27-BB27)</f>
        <v>0</v>
      </c>
      <c r="BD27" s="244"/>
      <c r="BE27" s="248">
        <f>SUM(AZ$11:AZ27)</f>
        <v>0</v>
      </c>
      <c r="BF27" s="245">
        <f>SUM(BA$11:BA27)</f>
        <v>0</v>
      </c>
      <c r="BG27" s="245">
        <f>SUM(BB$11:BB27)</f>
        <v>0</v>
      </c>
      <c r="BH27" s="244">
        <f>SUM(BC$11:BC27)</f>
        <v>0</v>
      </c>
      <c r="BI27" s="245">
        <f>SUM(BD$11:BD27)</f>
        <v>0</v>
      </c>
      <c r="BJ27" s="249"/>
      <c r="BK27" s="238"/>
      <c r="BL27" s="243"/>
      <c r="BM27" s="336"/>
      <c r="BN27" s="243">
        <f>SUM(BJ$11:BJ27)</f>
        <v>0</v>
      </c>
      <c r="BO27" s="238">
        <f>SUM(BK$11:BK27)</f>
        <v>0</v>
      </c>
      <c r="BP27" s="243">
        <f>SUM(BL$11:BL27)</f>
        <v>0</v>
      </c>
      <c r="BQ27" s="239">
        <f>SUM(BM$11:BM27)</f>
        <v>0</v>
      </c>
      <c r="BR27" s="246">
        <f>AM27</f>
        <v>0</v>
      </c>
      <c r="BS27" s="251">
        <f>AN27</f>
        <v>0</v>
      </c>
      <c r="BT27" s="251">
        <f>AO27</f>
        <v>0</v>
      </c>
      <c r="BU27" s="251">
        <f>AP27</f>
        <v>0</v>
      </c>
      <c r="BV27" s="252">
        <f>(AI27+AK27+AL27)*0.0156</f>
        <v>0</v>
      </c>
      <c r="BW27" s="238">
        <f>SUM(BR$11:BR27)</f>
        <v>0</v>
      </c>
      <c r="BX27" s="238">
        <f>SUM(BS$11:BS27)</f>
        <v>0</v>
      </c>
      <c r="BY27" s="238">
        <f>SUM(BT$11:BT27)</f>
        <v>0</v>
      </c>
      <c r="BZ27" s="238">
        <f>SUM(BU$11:BU27)</f>
        <v>0</v>
      </c>
      <c r="CA27" s="239">
        <f>SUM(BV$11:BV27)</f>
        <v>0</v>
      </c>
      <c r="CB27" s="253">
        <f>BC27*0.5</f>
        <v>0</v>
      </c>
      <c r="CC27" s="254"/>
      <c r="CD27" s="255"/>
      <c r="CE27" s="238">
        <f>SUM(CB$11:CB27)</f>
        <v>0</v>
      </c>
      <c r="CF27" s="242">
        <f>SUM(CC$11:CC27)</f>
        <v>0</v>
      </c>
      <c r="CG27" s="239">
        <f>SUM(CD$11:CD27)</f>
        <v>0</v>
      </c>
      <c r="CH27" s="256">
        <f>AH27+AJ27</f>
        <v>0</v>
      </c>
      <c r="CI27" s="238">
        <f>AG27+AI27+AK27+AL27+AM27+AN27+AO27+AP27</f>
        <v>0</v>
      </c>
      <c r="CJ27" s="243">
        <f>SUM(AZ27:BD27)</f>
        <v>0</v>
      </c>
      <c r="CK27" s="243">
        <f>SUM(BJ27:BM27)</f>
        <v>0</v>
      </c>
      <c r="CL27" s="243">
        <f>SUM(BR27:BV27)</f>
        <v>0</v>
      </c>
      <c r="CM27" s="257">
        <f>CC27</f>
        <v>0</v>
      </c>
      <c r="CN27" s="257">
        <f>CD27</f>
        <v>0</v>
      </c>
      <c r="CO27" s="258">
        <f>CI27-CJ27-CK27-CL27+CM27+CN27</f>
        <v>0</v>
      </c>
      <c r="CP27" s="101">
        <f>SUM(CH$11:CH27)</f>
        <v>0</v>
      </c>
      <c r="CQ27" s="259">
        <f>SUM(CI$11:CI27)</f>
        <v>0</v>
      </c>
      <c r="CR27" s="243">
        <f>SUM(CJ$11:CJ27)</f>
        <v>0</v>
      </c>
      <c r="CS27" s="243">
        <f>SUM(CK$11:CK27)</f>
        <v>0</v>
      </c>
      <c r="CT27" s="243">
        <f>SUM(CL$11:CL27)</f>
        <v>0</v>
      </c>
      <c r="CU27" s="257">
        <f>SUM(CM$11:CM27)</f>
        <v>0</v>
      </c>
      <c r="CV27" s="234">
        <f>SUM(CN$11:CN27)</f>
        <v>0</v>
      </c>
      <c r="CW27" s="260">
        <f>SUM(CO$11:CO27)</f>
        <v>0</v>
      </c>
    </row>
    <row r="28" spans="2:101" ht="12.75">
      <c r="B28" s="209">
        <v>41167</v>
      </c>
      <c r="C28" s="210" t="s">
        <v>132</v>
      </c>
      <c r="D28" s="211"/>
      <c r="E28" s="212"/>
      <c r="F28" s="213"/>
      <c r="G28" s="216"/>
      <c r="H28" s="214"/>
      <c r="I28" s="215"/>
      <c r="J28" s="211"/>
      <c r="K28" s="329" t="s">
        <v>133</v>
      </c>
      <c r="L28" s="218"/>
      <c r="M28" s="271"/>
      <c r="N28" s="92"/>
      <c r="O28" s="212"/>
      <c r="P28" s="213"/>
      <c r="Q28" s="213"/>
      <c r="R28" s="264"/>
      <c r="S28" s="265"/>
      <c r="T28" s="222"/>
      <c r="U28" s="151"/>
      <c r="V28" s="223">
        <v>31</v>
      </c>
      <c r="W28" s="224">
        <f>V28*$N$2+S49</f>
        <v>0</v>
      </c>
      <c r="X28" s="225">
        <f>AH28+AJ28</f>
        <v>0</v>
      </c>
      <c r="Y28" s="226">
        <f>AI28+AK28</f>
        <v>0</v>
      </c>
      <c r="Z28" s="151">
        <f>SUM(V$11:V28)</f>
        <v>527</v>
      </c>
      <c r="AA28" s="345">
        <f>CP28</f>
        <v>0</v>
      </c>
      <c r="AB28" s="151"/>
      <c r="AC28" s="228"/>
      <c r="AD28" s="229"/>
      <c r="AE28" s="230"/>
      <c r="AF28" s="231"/>
      <c r="AG28" s="232"/>
      <c r="AH28" s="233"/>
      <c r="AI28" s="234">
        <f>AH28*$N$2</f>
        <v>0</v>
      </c>
      <c r="AJ28" s="235"/>
      <c r="AK28" s="234">
        <f>AJ28*$N$2</f>
        <v>0</v>
      </c>
      <c r="AL28" s="236"/>
      <c r="AM28" s="236"/>
      <c r="AN28" s="238"/>
      <c r="AO28" s="238"/>
      <c r="AP28" s="239"/>
      <c r="AQ28" s="240">
        <f>SUM(AG$11:AG28)</f>
        <v>0</v>
      </c>
      <c r="AR28" s="241">
        <f>SUM(AH$11:AH28)</f>
        <v>0</v>
      </c>
      <c r="AS28" s="234">
        <f>SUM(AI$11:AI28)</f>
        <v>0</v>
      </c>
      <c r="AT28" s="233">
        <f>SUM(AJ$11:AJ28)</f>
        <v>0</v>
      </c>
      <c r="AU28" s="234">
        <f>SUM(AK$11:AK28)</f>
        <v>0</v>
      </c>
      <c r="AV28" s="242">
        <f>SUM(AM$11:AM28)</f>
        <v>0</v>
      </c>
      <c r="AW28" s="243">
        <f>SUM(AN$11:AN28)</f>
        <v>0</v>
      </c>
      <c r="AX28" s="238">
        <f>SUM(AO$11:AO28)</f>
        <v>0</v>
      </c>
      <c r="AY28" s="239">
        <f>SUM(AP$11:AP28)</f>
        <v>0</v>
      </c>
      <c r="AZ28" s="244"/>
      <c r="BA28" s="245"/>
      <c r="BB28" s="246"/>
      <c r="BC28" s="247">
        <f>0.1*(AI28+AK28+AL28-BB28)</f>
        <v>0</v>
      </c>
      <c r="BD28" s="244"/>
      <c r="BE28" s="248">
        <f>SUM(AZ$11:AZ28)</f>
        <v>0</v>
      </c>
      <c r="BF28" s="245">
        <f>SUM(BA$11:BA28)</f>
        <v>0</v>
      </c>
      <c r="BG28" s="245">
        <f>SUM(BB$11:BB28)</f>
        <v>0</v>
      </c>
      <c r="BH28" s="244">
        <f>SUM(BC$11:BC28)</f>
        <v>0</v>
      </c>
      <c r="BI28" s="245">
        <f>SUM(BD$11:BD28)</f>
        <v>0</v>
      </c>
      <c r="BJ28" s="249"/>
      <c r="BK28" s="238"/>
      <c r="BL28" s="243"/>
      <c r="BM28" s="336"/>
      <c r="BN28" s="243">
        <f>SUM(BJ$11:BJ28)</f>
        <v>0</v>
      </c>
      <c r="BO28" s="238">
        <f>SUM(BK$11:BK28)</f>
        <v>0</v>
      </c>
      <c r="BP28" s="243">
        <f>SUM(BL$11:BL28)</f>
        <v>0</v>
      </c>
      <c r="BQ28" s="239">
        <f>SUM(BM$11:BM28)</f>
        <v>0</v>
      </c>
      <c r="BR28" s="246">
        <f>AM28</f>
        <v>0</v>
      </c>
      <c r="BS28" s="251">
        <f>AN28</f>
        <v>0</v>
      </c>
      <c r="BT28" s="251">
        <f>AO28</f>
        <v>0</v>
      </c>
      <c r="BU28" s="251">
        <f>AP28</f>
        <v>0</v>
      </c>
      <c r="BV28" s="252">
        <f>(AI28+AK28+AL28)*0.0156</f>
        <v>0</v>
      </c>
      <c r="BW28" s="238">
        <f>SUM(BR$11:BR28)</f>
        <v>0</v>
      </c>
      <c r="BX28" s="238">
        <f>SUM(BS$11:BS28)</f>
        <v>0</v>
      </c>
      <c r="BY28" s="238">
        <f>SUM(BT$11:BT28)</f>
        <v>0</v>
      </c>
      <c r="BZ28" s="238">
        <f>SUM(BU$11:BU28)</f>
        <v>0</v>
      </c>
      <c r="CA28" s="239">
        <f>SUM(BV$11:BV28)</f>
        <v>0</v>
      </c>
      <c r="CB28" s="253">
        <f>BC28*0.5</f>
        <v>0</v>
      </c>
      <c r="CC28" s="254"/>
      <c r="CD28" s="255"/>
      <c r="CE28" s="238">
        <f>SUM(CB$11:CB28)</f>
        <v>0</v>
      </c>
      <c r="CF28" s="242">
        <f>SUM(CC$11:CC28)</f>
        <v>0</v>
      </c>
      <c r="CG28" s="239">
        <f>SUM(CD$11:CD28)</f>
        <v>0</v>
      </c>
      <c r="CH28" s="256">
        <f>AH28+AJ28</f>
        <v>0</v>
      </c>
      <c r="CI28" s="238">
        <f>AG28+AI28+AK28+AL28+AM28+AN28+AO28+AP28</f>
        <v>0</v>
      </c>
      <c r="CJ28" s="243">
        <f>SUM(AZ28:BD28)</f>
        <v>0</v>
      </c>
      <c r="CK28" s="243">
        <f>SUM(BJ28:BM28)</f>
        <v>0</v>
      </c>
      <c r="CL28" s="243">
        <f>SUM(BR28:BV28)</f>
        <v>0</v>
      </c>
      <c r="CM28" s="257">
        <f>CC28</f>
        <v>0</v>
      </c>
      <c r="CN28" s="257">
        <f>CD28</f>
        <v>0</v>
      </c>
      <c r="CO28" s="258">
        <f>CI28-CJ28-CK28-CL28+CM28+CN28</f>
        <v>0</v>
      </c>
      <c r="CP28" s="101">
        <f>SUM(CH$11:CH28)</f>
        <v>0</v>
      </c>
      <c r="CQ28" s="259">
        <f>SUM(CI$11:CI28)</f>
        <v>0</v>
      </c>
      <c r="CR28" s="243">
        <f>SUM(CJ$11:CJ28)</f>
        <v>0</v>
      </c>
      <c r="CS28" s="243">
        <f>SUM(CK$11:CK28)</f>
        <v>0</v>
      </c>
      <c r="CT28" s="243">
        <f>SUM(CL$11:CL28)</f>
        <v>0</v>
      </c>
      <c r="CU28" s="257">
        <f>SUM(CM$11:CM28)</f>
        <v>0</v>
      </c>
      <c r="CV28" s="234">
        <f>SUM(CN$11:CN28)</f>
        <v>0</v>
      </c>
      <c r="CW28" s="260">
        <f>SUM(CO$11:CO28)</f>
        <v>0</v>
      </c>
    </row>
    <row r="29" spans="2:101" ht="12.75">
      <c r="B29" s="209">
        <v>41182</v>
      </c>
      <c r="C29" s="261"/>
      <c r="D29" s="211"/>
      <c r="E29" s="212"/>
      <c r="F29" s="213"/>
      <c r="G29" s="216"/>
      <c r="H29" s="214"/>
      <c r="I29" s="215">
        <f>SUM(C29:G29)+K29</f>
        <v>0</v>
      </c>
      <c r="J29" s="211"/>
      <c r="K29" s="263"/>
      <c r="L29" s="218"/>
      <c r="M29" s="271"/>
      <c r="N29" s="92">
        <f>C29+D29/2.85+E29+K29*3.65</f>
        <v>0</v>
      </c>
      <c r="O29" s="212">
        <f>J29/4.95+K29*3.65</f>
        <v>0</v>
      </c>
      <c r="P29" s="213">
        <f>F29+G29/2.85</f>
        <v>0</v>
      </c>
      <c r="Q29" s="213">
        <f>L29/4.95</f>
        <v>0</v>
      </c>
      <c r="R29" s="264">
        <f>IF(M29=1,2,(IF(M29=2,6,IF(M29=3,12,IF(M29&gt;3,12+12*(M29-3),0)))))</f>
        <v>0</v>
      </c>
      <c r="S29" s="265">
        <f>IF(H29&gt;0,150+(50*(ROUNDUP(H29,0)-4)),0)</f>
        <v>0</v>
      </c>
      <c r="T29" s="222">
        <f>MAX(N29:O29,62)+MAX(P29:Q29)+R29</f>
        <v>62</v>
      </c>
      <c r="U29" s="151">
        <f>IF((I29)&gt;62,(I29),62)+(IF(M29&lt;3,M29*1.5*62/17,10.94+((M29-2)*1.75*62/17)))</f>
        <v>62</v>
      </c>
      <c r="V29" s="223">
        <f>MAX(31,I29-31,U29-31,31+(IF(M29&lt;3,M29*1.5*62/17,10.94+((M29-2)*1.75*62/17))))</f>
        <v>31</v>
      </c>
      <c r="W29" s="224">
        <f>V29*$N$2+S50</f>
        <v>0</v>
      </c>
      <c r="X29" s="225">
        <f>AH29+AJ29</f>
        <v>0</v>
      </c>
      <c r="Y29" s="226">
        <f>AI29+AK29</f>
        <v>0</v>
      </c>
      <c r="Z29" s="151">
        <f>SUM(V$11:V29)</f>
        <v>558</v>
      </c>
      <c r="AA29" s="345">
        <f>CP29</f>
        <v>0</v>
      </c>
      <c r="AB29" s="151"/>
      <c r="AC29" s="228">
        <f>AB29*2.4</f>
        <v>0</v>
      </c>
      <c r="AD29" s="229">
        <f>CC29+CD29</f>
        <v>0</v>
      </c>
      <c r="AE29" s="230">
        <f>SUM(AC$12:AC29)</f>
        <v>0</v>
      </c>
      <c r="AF29" s="231">
        <f>SUM(AD$12:AD29)</f>
        <v>0</v>
      </c>
      <c r="AG29" s="232"/>
      <c r="AH29" s="233"/>
      <c r="AI29" s="234">
        <f>AH29*$N$2</f>
        <v>0</v>
      </c>
      <c r="AJ29" s="235"/>
      <c r="AK29" s="234">
        <f>AJ29*$N$2</f>
        <v>0</v>
      </c>
      <c r="AL29" s="236"/>
      <c r="AM29" s="236"/>
      <c r="AN29" s="238"/>
      <c r="AO29" s="238"/>
      <c r="AP29" s="239"/>
      <c r="AQ29" s="240">
        <f>SUM(AG$11:AG29)</f>
        <v>0</v>
      </c>
      <c r="AR29" s="241">
        <f>SUM(AH$11:AH29)</f>
        <v>0</v>
      </c>
      <c r="AS29" s="234">
        <f>SUM(AI$11:AI29)</f>
        <v>0</v>
      </c>
      <c r="AT29" s="233">
        <f>SUM(AJ$11:AJ29)</f>
        <v>0</v>
      </c>
      <c r="AU29" s="234">
        <f>SUM(AK$11:AK29)</f>
        <v>0</v>
      </c>
      <c r="AV29" s="242">
        <f>SUM(AM$11:AM29)</f>
        <v>0</v>
      </c>
      <c r="AW29" s="243">
        <f>SUM(AN$11:AN29)</f>
        <v>0</v>
      </c>
      <c r="AX29" s="238">
        <f>SUM(AO$11:AO29)</f>
        <v>0</v>
      </c>
      <c r="AY29" s="239">
        <f>SUM(AP$11:AP29)</f>
        <v>0</v>
      </c>
      <c r="AZ29" s="244"/>
      <c r="BA29" s="245"/>
      <c r="BB29" s="246"/>
      <c r="BC29" s="247">
        <f>0.1*(AI29+AK29+AL29-BB29)</f>
        <v>0</v>
      </c>
      <c r="BD29" s="244"/>
      <c r="BE29" s="248">
        <f>SUM(AZ$11:AZ29)</f>
        <v>0</v>
      </c>
      <c r="BF29" s="245">
        <f>SUM(BA$11:BA29)</f>
        <v>0</v>
      </c>
      <c r="BG29" s="245">
        <f>SUM(BB$11:BB29)</f>
        <v>0</v>
      </c>
      <c r="BH29" s="244">
        <f>SUM(BC$11:BC29)</f>
        <v>0</v>
      </c>
      <c r="BI29" s="245">
        <f>SUM(BD$11:BD29)</f>
        <v>0</v>
      </c>
      <c r="BJ29" s="249"/>
      <c r="BK29" s="238"/>
      <c r="BL29" s="243"/>
      <c r="BM29" s="336"/>
      <c r="BN29" s="243">
        <f>SUM(BJ$11:BJ29)</f>
        <v>0</v>
      </c>
      <c r="BO29" s="238">
        <f>SUM(BK$11:BK29)</f>
        <v>0</v>
      </c>
      <c r="BP29" s="243">
        <f>SUM(BL$11:BL29)</f>
        <v>0</v>
      </c>
      <c r="BQ29" s="239">
        <f>SUM(BM$11:BM29)</f>
        <v>0</v>
      </c>
      <c r="BR29" s="246">
        <f>AM29</f>
        <v>0</v>
      </c>
      <c r="BS29" s="251">
        <f>AN29</f>
        <v>0</v>
      </c>
      <c r="BT29" s="251">
        <f>AO29</f>
        <v>0</v>
      </c>
      <c r="BU29" s="251">
        <f>AP29</f>
        <v>0</v>
      </c>
      <c r="BV29" s="252">
        <f>(AI29+AK29+AL29)*0.0156</f>
        <v>0</v>
      </c>
      <c r="BW29" s="238">
        <f>SUM(BR$11:BR29)</f>
        <v>0</v>
      </c>
      <c r="BX29" s="238">
        <f>SUM(BS$11:BS29)</f>
        <v>0</v>
      </c>
      <c r="BY29" s="238">
        <f>SUM(BT$11:BT29)</f>
        <v>0</v>
      </c>
      <c r="BZ29" s="238">
        <f>SUM(BU$11:BU29)</f>
        <v>0</v>
      </c>
      <c r="CA29" s="239">
        <f>SUM(BV$11:BV29)</f>
        <v>0</v>
      </c>
      <c r="CB29" s="253">
        <f>BC29*0.5</f>
        <v>0</v>
      </c>
      <c r="CC29" s="254"/>
      <c r="CD29" s="255"/>
      <c r="CE29" s="238">
        <f>SUM(CB$11:CB29)</f>
        <v>0</v>
      </c>
      <c r="CF29" s="242">
        <f>SUM(CC$11:CC29)</f>
        <v>0</v>
      </c>
      <c r="CG29" s="239">
        <f>SUM(CD$11:CD29)</f>
        <v>0</v>
      </c>
      <c r="CH29" s="256">
        <f>AH29+AJ29</f>
        <v>0</v>
      </c>
      <c r="CI29" s="238">
        <f>AG29+AI29+AK29+AL29+AM29+AN29+AO29+AP29</f>
        <v>0</v>
      </c>
      <c r="CJ29" s="243">
        <f>SUM(AZ29:BD29)</f>
        <v>0</v>
      </c>
      <c r="CK29" s="243">
        <f>SUM(BJ29:BM29)</f>
        <v>0</v>
      </c>
      <c r="CL29" s="243">
        <f>SUM(BR29:BV29)</f>
        <v>0</v>
      </c>
      <c r="CM29" s="257">
        <f>CC29</f>
        <v>0</v>
      </c>
      <c r="CN29" s="257">
        <f>CD29</f>
        <v>0</v>
      </c>
      <c r="CO29" s="258">
        <f>CI29-CJ29-CK29-CL29+CM29+CN29</f>
        <v>0</v>
      </c>
      <c r="CP29" s="101">
        <f>SUM(CH$11:CH29)</f>
        <v>0</v>
      </c>
      <c r="CQ29" s="259">
        <f>SUM(CI$11:CI29)</f>
        <v>0</v>
      </c>
      <c r="CR29" s="243">
        <f>SUM(CJ$11:CJ29)</f>
        <v>0</v>
      </c>
      <c r="CS29" s="243">
        <f>SUM(CK$11:CK29)</f>
        <v>0</v>
      </c>
      <c r="CT29" s="243">
        <f>SUM(CL$11:CL29)</f>
        <v>0</v>
      </c>
      <c r="CU29" s="257">
        <f>SUM(CM$11:CM29)</f>
        <v>0</v>
      </c>
      <c r="CV29" s="234">
        <f>SUM(CN$11:CN29)</f>
        <v>0</v>
      </c>
      <c r="CW29" s="260">
        <f>SUM(CO$11:CO29)</f>
        <v>0</v>
      </c>
    </row>
    <row r="30" spans="2:102" s="364" customFormat="1" ht="12.75">
      <c r="B30" s="365">
        <v>41197</v>
      </c>
      <c r="C30" s="366" t="s">
        <v>134</v>
      </c>
      <c r="D30" s="367"/>
      <c r="E30" s="367"/>
      <c r="F30" s="368"/>
      <c r="G30" s="368"/>
      <c r="H30" s="369"/>
      <c r="I30" s="370"/>
      <c r="J30" s="371"/>
      <c r="K30" s="371" t="s">
        <v>129</v>
      </c>
      <c r="L30" s="372"/>
      <c r="M30" s="373"/>
      <c r="N30" s="374"/>
      <c r="O30" s="371"/>
      <c r="P30" s="375"/>
      <c r="Q30" s="375"/>
      <c r="R30" s="376"/>
      <c r="S30" s="377"/>
      <c r="T30" s="378"/>
      <c r="U30" s="379"/>
      <c r="V30" s="380">
        <v>31</v>
      </c>
      <c r="W30" s="381">
        <f>V30*$N$4+S51</f>
        <v>6293.3099999999995</v>
      </c>
      <c r="X30" s="382">
        <f>AH30+AJ30</f>
        <v>0</v>
      </c>
      <c r="Y30" s="383">
        <f>SUM(AI30,AK30,AL30)</f>
        <v>0</v>
      </c>
      <c r="Z30" s="379">
        <f>SUM(V$11:V30)</f>
        <v>589</v>
      </c>
      <c r="AA30" s="384">
        <f>CP30</f>
        <v>0</v>
      </c>
      <c r="AB30" s="379"/>
      <c r="AC30" s="385"/>
      <c r="AD30" s="386"/>
      <c r="AE30" s="387"/>
      <c r="AF30" s="388"/>
      <c r="AG30" s="389"/>
      <c r="AH30" s="390"/>
      <c r="AI30" s="391">
        <f>AH30*$N$3</f>
        <v>0</v>
      </c>
      <c r="AJ30" s="392"/>
      <c r="AK30" s="391">
        <f>AJ30*$N$2</f>
        <v>0</v>
      </c>
      <c r="AL30" s="393"/>
      <c r="AM30" s="389"/>
      <c r="AN30" s="394"/>
      <c r="AO30" s="395"/>
      <c r="AP30" s="396"/>
      <c r="AQ30" s="397">
        <f>SUM(AG$11:AG30)</f>
        <v>0</v>
      </c>
      <c r="AR30" s="390">
        <f>SUM(AH$11:AH30)</f>
        <v>0</v>
      </c>
      <c r="AS30" s="391">
        <f>SUM(AI$11:AI30)</f>
        <v>0</v>
      </c>
      <c r="AT30" s="390">
        <f>SUM(AJ$11:AJ30)</f>
        <v>0</v>
      </c>
      <c r="AU30" s="391">
        <f>SUM(AK$11:AK30)</f>
        <v>0</v>
      </c>
      <c r="AV30" s="394">
        <f>SUM(AM$11:AM30)</f>
        <v>0</v>
      </c>
      <c r="AW30" s="395">
        <f>SUM(AN$11:AN30)</f>
        <v>0</v>
      </c>
      <c r="AX30" s="395">
        <f>SUM(AO$11:AO30)</f>
        <v>0</v>
      </c>
      <c r="AY30" s="396">
        <f>SUM(AP$11:AP30)</f>
        <v>0</v>
      </c>
      <c r="AZ30" s="398"/>
      <c r="BA30" s="399"/>
      <c r="BB30" s="399"/>
      <c r="BC30" s="400">
        <f>0.1*(AI30+AK30+AL30-BB30)</f>
        <v>0</v>
      </c>
      <c r="BD30" s="399"/>
      <c r="BE30" s="399">
        <f>SUM(AZ$11:AZ30)</f>
        <v>0</v>
      </c>
      <c r="BF30" s="399">
        <f>SUM(BA$11:BA30)</f>
        <v>0</v>
      </c>
      <c r="BG30" s="399">
        <f>SUM(BB$11:BB30)</f>
        <v>0</v>
      </c>
      <c r="BH30" s="399">
        <f>SUM(BC$11:BC30)</f>
        <v>0</v>
      </c>
      <c r="BI30" s="401">
        <f>SUM(BD$11:BD30)</f>
        <v>0</v>
      </c>
      <c r="BJ30" s="394"/>
      <c r="BK30" s="395"/>
      <c r="BL30" s="395"/>
      <c r="BM30" s="402"/>
      <c r="BN30" s="394">
        <f>SUM(BJ$11:BJ30)</f>
        <v>0</v>
      </c>
      <c r="BO30" s="395">
        <f>SUM(BK$11:BK30)</f>
        <v>0</v>
      </c>
      <c r="BP30" s="395">
        <f>SUM(BL$11:BL30)</f>
        <v>0</v>
      </c>
      <c r="BQ30" s="396">
        <f>SUM(BM$11:BM30)</f>
        <v>0</v>
      </c>
      <c r="BR30" s="398">
        <f>AM30</f>
        <v>0</v>
      </c>
      <c r="BS30" s="399">
        <f>AN30</f>
        <v>0</v>
      </c>
      <c r="BT30" s="399">
        <f>AO30</f>
        <v>0</v>
      </c>
      <c r="BU30" s="399">
        <f>AP30</f>
        <v>0</v>
      </c>
      <c r="BV30" s="403">
        <f>(AI30+AK30+AL30)*0.0156</f>
        <v>0</v>
      </c>
      <c r="BW30" s="394">
        <f>SUM(BR$11:BR30)</f>
        <v>0</v>
      </c>
      <c r="BX30" s="395">
        <f>SUM(BS$11:BS30)</f>
        <v>0</v>
      </c>
      <c r="BY30" s="395">
        <f>SUM(BT$11:BT30)</f>
        <v>0</v>
      </c>
      <c r="BZ30" s="395">
        <f>SUM(BU$11:BU30)</f>
        <v>0</v>
      </c>
      <c r="CA30" s="396">
        <f>SUM(BV$11:BV30)</f>
        <v>0</v>
      </c>
      <c r="CB30" s="404">
        <f>BC30*0.5</f>
        <v>0</v>
      </c>
      <c r="CC30" s="405"/>
      <c r="CD30" s="406"/>
      <c r="CE30" s="394">
        <f>SUM(CB$11:CB30)</f>
        <v>0</v>
      </c>
      <c r="CF30" s="395">
        <f>SUM(CC$11:CC30)</f>
        <v>0</v>
      </c>
      <c r="CG30" s="396">
        <f>SUM(CD$11:CD30)</f>
        <v>0</v>
      </c>
      <c r="CH30" s="407">
        <f>AH30+AJ30</f>
        <v>0</v>
      </c>
      <c r="CI30" s="394">
        <f>AG30+AI30+AK30+AL30+AM30+AN30+AO30+AP30</f>
        <v>0</v>
      </c>
      <c r="CJ30" s="395">
        <f>SUM(AZ30:BD30)</f>
        <v>0</v>
      </c>
      <c r="CK30" s="395">
        <f>SUM(BJ30:BM30)</f>
        <v>0</v>
      </c>
      <c r="CL30" s="395">
        <f>SUM(BR30:BV30)</f>
        <v>0</v>
      </c>
      <c r="CM30" s="395">
        <f>CC30</f>
        <v>0</v>
      </c>
      <c r="CN30" s="391">
        <f>CD30</f>
        <v>0</v>
      </c>
      <c r="CO30" s="408">
        <f>CI30-CJ30-CK30-CL30+CM30+CN30</f>
        <v>0</v>
      </c>
      <c r="CP30" s="407">
        <f>SUM(CH$11:CH30)</f>
        <v>0</v>
      </c>
      <c r="CQ30" s="394">
        <f>SUM(CI$11:CI30)</f>
        <v>0</v>
      </c>
      <c r="CR30" s="395">
        <f>SUM(CJ$11:CJ30)</f>
        <v>0</v>
      </c>
      <c r="CS30" s="395">
        <f>SUM(CK$11:CK30)</f>
        <v>0</v>
      </c>
      <c r="CT30" s="395">
        <f>SUM(CL$11:CL30)</f>
        <v>0</v>
      </c>
      <c r="CU30" s="395">
        <f>SUM(CM$11:CM30)</f>
        <v>0</v>
      </c>
      <c r="CV30" s="395">
        <f>SUM(CN$11:CN30)</f>
        <v>0</v>
      </c>
      <c r="CW30" s="396">
        <f>SUM(CO$11:CO30)</f>
        <v>0</v>
      </c>
      <c r="CX30" s="409"/>
    </row>
    <row r="31" spans="2:102" s="410" customFormat="1" ht="12.75">
      <c r="B31" s="365">
        <v>41213</v>
      </c>
      <c r="C31" s="367"/>
      <c r="D31" s="367"/>
      <c r="E31" s="367"/>
      <c r="F31" s="368"/>
      <c r="G31" s="368"/>
      <c r="H31" s="411"/>
      <c r="I31" s="370">
        <f>SUM(C31:H31)</f>
        <v>0</v>
      </c>
      <c r="J31" s="367"/>
      <c r="K31" s="380"/>
      <c r="L31" s="372"/>
      <c r="M31" s="373"/>
      <c r="N31" s="412">
        <f>C31+D31/2.85+E31+K31*3.65</f>
        <v>0</v>
      </c>
      <c r="O31" s="367">
        <f>J31/4.95+K31*3.65</f>
        <v>0</v>
      </c>
      <c r="P31" s="368">
        <f>F31+G31/2.85</f>
        <v>0</v>
      </c>
      <c r="Q31" s="368">
        <f>L31/4.95</f>
        <v>0</v>
      </c>
      <c r="R31" s="376">
        <f>IF(M31=1,2,(IF(M31=2,6,IF(M31=3,12,IF(M31&gt;3,12+12*(M31-3),0)))))</f>
        <v>0</v>
      </c>
      <c r="S31" s="413">
        <f>IF(H31&gt;0,150+(50*(ROUNDUP(H31,0)-4)),0)</f>
        <v>0</v>
      </c>
      <c r="T31" s="378">
        <f>MAX(N31:O31,62)+MAX(P31:Q31)+R31</f>
        <v>62</v>
      </c>
      <c r="U31" s="379">
        <f>MAX(N31:O31,62)</f>
        <v>62</v>
      </c>
      <c r="V31" s="380">
        <f>T31-31</f>
        <v>31</v>
      </c>
      <c r="W31" s="413">
        <f>31*$N$4+(V31-31)*$N$3+S31</f>
        <v>6293.3099999999995</v>
      </c>
      <c r="X31" s="382">
        <f>AH31+AJ31</f>
        <v>0</v>
      </c>
      <c r="Y31" s="383">
        <f>SUM(AI31,AK31,AL31)</f>
        <v>0</v>
      </c>
      <c r="Z31" s="379">
        <f>SUM(V$11:V31)</f>
        <v>620</v>
      </c>
      <c r="AA31" s="384">
        <f>CP31</f>
        <v>0</v>
      </c>
      <c r="AB31" s="379"/>
      <c r="AC31" s="385">
        <f>AB31*2.4</f>
        <v>0</v>
      </c>
      <c r="AD31" s="386">
        <f>CC31+CD31</f>
        <v>0</v>
      </c>
      <c r="AE31" s="387">
        <f>SUM(AC$12:AC31)</f>
        <v>0</v>
      </c>
      <c r="AF31" s="388">
        <f>SUM(AD$12:AD31)</f>
        <v>0</v>
      </c>
      <c r="AG31" s="414"/>
      <c r="AH31" s="390"/>
      <c r="AI31" s="391">
        <f>AH31*$N$3</f>
        <v>0</v>
      </c>
      <c r="AJ31" s="392"/>
      <c r="AK31" s="391">
        <f>AJ31*$N$3</f>
        <v>0</v>
      </c>
      <c r="AL31" s="393"/>
      <c r="AM31" s="389"/>
      <c r="AN31" s="394"/>
      <c r="AO31" s="395"/>
      <c r="AP31" s="396"/>
      <c r="AQ31" s="397">
        <f>SUM(AG$11:AG31)</f>
        <v>0</v>
      </c>
      <c r="AR31" s="390">
        <f>SUM(AH$11:AH31)</f>
        <v>0</v>
      </c>
      <c r="AS31" s="391">
        <f>SUM(AI$11:AI31)</f>
        <v>0</v>
      </c>
      <c r="AT31" s="390">
        <f>SUM(AJ$11:AJ31)</f>
        <v>0</v>
      </c>
      <c r="AU31" s="391">
        <f>SUM(AK$11:AK31)</f>
        <v>0</v>
      </c>
      <c r="AV31" s="394">
        <f>SUM(AM$11:AM31)</f>
        <v>0</v>
      </c>
      <c r="AW31" s="395">
        <f>SUM(AN$11:AN31)</f>
        <v>0</v>
      </c>
      <c r="AX31" s="395">
        <f>SUM(AO$11:AO31)</f>
        <v>0</v>
      </c>
      <c r="AY31" s="396">
        <f>SUM(AP$11:AP31)</f>
        <v>0</v>
      </c>
      <c r="AZ31" s="398"/>
      <c r="BA31" s="399"/>
      <c r="BB31" s="399"/>
      <c r="BC31" s="400">
        <f>0.1*(AI31+AK31+AL31-BB31)</f>
        <v>0</v>
      </c>
      <c r="BD31" s="399"/>
      <c r="BE31" s="399">
        <f>SUM(AZ$11:AZ31)</f>
        <v>0</v>
      </c>
      <c r="BF31" s="399">
        <f>SUM(BA$11:BA31)</f>
        <v>0</v>
      </c>
      <c r="BG31" s="399">
        <f>SUM(BB$11:BB31)</f>
        <v>0</v>
      </c>
      <c r="BH31" s="399">
        <f>SUM(BC$11:BC31)</f>
        <v>0</v>
      </c>
      <c r="BI31" s="401">
        <f>SUM(BD$11:BD31)</f>
        <v>0</v>
      </c>
      <c r="BJ31" s="394"/>
      <c r="BK31" s="395"/>
      <c r="BL31" s="395"/>
      <c r="BM31" s="402"/>
      <c r="BN31" s="394">
        <f>SUM(BJ$11:BJ31)</f>
        <v>0</v>
      </c>
      <c r="BO31" s="395">
        <f>SUM(BK$11:BK31)</f>
        <v>0</v>
      </c>
      <c r="BP31" s="395">
        <f>SUM(BL$11:BL31)</f>
        <v>0</v>
      </c>
      <c r="BQ31" s="396">
        <f>SUM(BM$11:BM31)</f>
        <v>0</v>
      </c>
      <c r="BR31" s="398">
        <f>AM31</f>
        <v>0</v>
      </c>
      <c r="BS31" s="399">
        <f>AN31</f>
        <v>0</v>
      </c>
      <c r="BT31" s="399">
        <f>AO31</f>
        <v>0</v>
      </c>
      <c r="BU31" s="399">
        <f>AP31</f>
        <v>0</v>
      </c>
      <c r="BV31" s="403">
        <f>(AI31+AK31+AL31)*0.0156</f>
        <v>0</v>
      </c>
      <c r="BW31" s="394">
        <f>SUM(BR$11:BR31)</f>
        <v>0</v>
      </c>
      <c r="BX31" s="395">
        <f>SUM(BS$11:BS31)</f>
        <v>0</v>
      </c>
      <c r="BY31" s="395">
        <f>SUM(BT$11:BT31)</f>
        <v>0</v>
      </c>
      <c r="BZ31" s="395">
        <f>SUM(BU$11:BU31)</f>
        <v>0</v>
      </c>
      <c r="CA31" s="396">
        <f>SUM(BV$11:BV31)</f>
        <v>0</v>
      </c>
      <c r="CB31" s="404">
        <f>BC31*0.5</f>
        <v>0</v>
      </c>
      <c r="CC31" s="405"/>
      <c r="CD31" s="406"/>
      <c r="CE31" s="394">
        <f>SUM(CB$11:CB31)</f>
        <v>0</v>
      </c>
      <c r="CF31" s="395">
        <f>SUM(CC$11:CC31)</f>
        <v>0</v>
      </c>
      <c r="CG31" s="396">
        <f>SUM(CD$11:CD31)</f>
        <v>0</v>
      </c>
      <c r="CH31" s="407">
        <f>AH31+AJ31</f>
        <v>0</v>
      </c>
      <c r="CI31" s="394">
        <f>AG31+AI31+AK31+AL31+AM31+AN31+AO31+AP31</f>
        <v>0</v>
      </c>
      <c r="CJ31" s="395">
        <f>SUM(AZ31:BD31)</f>
        <v>0</v>
      </c>
      <c r="CK31" s="395">
        <f>SUM(BJ31:BM31)</f>
        <v>0</v>
      </c>
      <c r="CL31" s="395">
        <f>SUM(BR31:BV31)</f>
        <v>0</v>
      </c>
      <c r="CM31" s="395">
        <f>CC31</f>
        <v>0</v>
      </c>
      <c r="CN31" s="391">
        <f>CD31</f>
        <v>0</v>
      </c>
      <c r="CO31" s="408">
        <f>CI31-CJ31-CK31-CL31+CM31+CN31</f>
        <v>0</v>
      </c>
      <c r="CP31" s="407">
        <f>SUM(CH$11:CH31)</f>
        <v>0</v>
      </c>
      <c r="CQ31" s="394">
        <f>SUM(CI$11:CI31)</f>
        <v>0</v>
      </c>
      <c r="CR31" s="395">
        <f>SUM(CJ$11:CJ31)</f>
        <v>0</v>
      </c>
      <c r="CS31" s="395">
        <f>SUM(CK$11:CK31)</f>
        <v>0</v>
      </c>
      <c r="CT31" s="395">
        <f>SUM(CL$11:CL31)</f>
        <v>0</v>
      </c>
      <c r="CU31" s="395">
        <f>SUM(CM$11:CM31)</f>
        <v>0</v>
      </c>
      <c r="CV31" s="395">
        <f>SUM(CN$11:CN31)</f>
        <v>0</v>
      </c>
      <c r="CW31" s="396">
        <f>SUM(CO$11:CO31)</f>
        <v>0</v>
      </c>
      <c r="CX31" s="415"/>
    </row>
    <row r="32" spans="2:102" s="416" customFormat="1" ht="12.75">
      <c r="B32" s="417">
        <v>41228</v>
      </c>
      <c r="C32" s="418" t="s">
        <v>135</v>
      </c>
      <c r="D32" s="419"/>
      <c r="E32" s="420"/>
      <c r="F32" s="368"/>
      <c r="G32" s="368"/>
      <c r="H32" s="421"/>
      <c r="I32" s="422"/>
      <c r="J32" s="418"/>
      <c r="K32" s="423"/>
      <c r="L32" s="372"/>
      <c r="M32" s="373"/>
      <c r="N32" s="424"/>
      <c r="O32" s="418"/>
      <c r="P32" s="368"/>
      <c r="Q32" s="368"/>
      <c r="R32" s="376"/>
      <c r="S32" s="425"/>
      <c r="T32" s="426"/>
      <c r="U32" s="427"/>
      <c r="V32" s="428">
        <v>31</v>
      </c>
      <c r="W32" s="381">
        <f>V32*$N$4+S31</f>
        <v>6293.3099999999995</v>
      </c>
      <c r="X32" s="420">
        <f>AH32+AJ32</f>
        <v>0</v>
      </c>
      <c r="Y32" s="429">
        <f>SUM(AI32,AK32,AL32)</f>
        <v>0</v>
      </c>
      <c r="Z32" s="427">
        <f>SUM(V$11:V32)</f>
        <v>651</v>
      </c>
      <c r="AA32" s="430">
        <f>CP32</f>
        <v>0</v>
      </c>
      <c r="AB32" s="427"/>
      <c r="AC32" s="431"/>
      <c r="AD32" s="432"/>
      <c r="AE32" s="433"/>
      <c r="AF32" s="434"/>
      <c r="AG32" s="435"/>
      <c r="AH32" s="436"/>
      <c r="AI32" s="402">
        <f>AH32*$N$3</f>
        <v>0</v>
      </c>
      <c r="AJ32" s="436"/>
      <c r="AK32" s="402">
        <f>AJ32*$N$4</f>
        <v>0</v>
      </c>
      <c r="AL32" s="437"/>
      <c r="AM32" s="437"/>
      <c r="AN32" s="438"/>
      <c r="AO32" s="405"/>
      <c r="AP32" s="439"/>
      <c r="AQ32" s="440">
        <f>SUM(AG$11:AG32)</f>
        <v>0</v>
      </c>
      <c r="AR32" s="436">
        <f>SUM(AH$11:AH32)</f>
        <v>0</v>
      </c>
      <c r="AS32" s="402">
        <f>SUM(AI$11:AI32)</f>
        <v>0</v>
      </c>
      <c r="AT32" s="436">
        <f>SUM(AJ$11:AJ32)</f>
        <v>0</v>
      </c>
      <c r="AU32" s="402">
        <f>SUM(AK$11:AK32)</f>
        <v>0</v>
      </c>
      <c r="AV32" s="438">
        <f>SUM(AM$11:AM32)</f>
        <v>0</v>
      </c>
      <c r="AW32" s="405">
        <f>SUM(AN$11:AN32)</f>
        <v>0</v>
      </c>
      <c r="AX32" s="405">
        <f>SUM(AO$11:AO32)</f>
        <v>0</v>
      </c>
      <c r="AY32" s="439">
        <f>SUM(AP$11:AP32)</f>
        <v>0</v>
      </c>
      <c r="AZ32" s="438"/>
      <c r="BA32" s="405"/>
      <c r="BB32" s="405"/>
      <c r="BC32" s="400">
        <f>0.1*(AI32+AK32+AL32-BB32)</f>
        <v>0</v>
      </c>
      <c r="BD32" s="405"/>
      <c r="BE32" s="405">
        <f>SUM(AZ$11:AZ32)</f>
        <v>0</v>
      </c>
      <c r="BF32" s="405">
        <f>SUM(BA$11:BA32)</f>
        <v>0</v>
      </c>
      <c r="BG32" s="405">
        <f>SUM(BB$11:BB32)</f>
        <v>0</v>
      </c>
      <c r="BH32" s="405">
        <f>SUM(BC$11:BC32)</f>
        <v>0</v>
      </c>
      <c r="BI32" s="439">
        <f>SUM(BD$11:BD32)</f>
        <v>0</v>
      </c>
      <c r="BJ32" s="438"/>
      <c r="BK32" s="405"/>
      <c r="BL32" s="405"/>
      <c r="BM32" s="402"/>
      <c r="BN32" s="438">
        <f>SUM(BJ$11:BJ32)</f>
        <v>0</v>
      </c>
      <c r="BO32" s="405">
        <f>SUM(BK$11:BK32)</f>
        <v>0</v>
      </c>
      <c r="BP32" s="405">
        <f>SUM(BL$11:BL32)</f>
        <v>0</v>
      </c>
      <c r="BQ32" s="439">
        <f>SUM(BM$11:BM32)</f>
        <v>0</v>
      </c>
      <c r="BR32" s="438">
        <f>AM32</f>
        <v>0</v>
      </c>
      <c r="BS32" s="405">
        <f>AN32</f>
        <v>0</v>
      </c>
      <c r="BT32" s="405">
        <f>AO32</f>
        <v>0</v>
      </c>
      <c r="BU32" s="405">
        <f>AP32</f>
        <v>0</v>
      </c>
      <c r="BV32" s="403">
        <f>(AI32+AK32+AL32)*0.0156</f>
        <v>0</v>
      </c>
      <c r="BW32" s="438">
        <f>SUM(BR$11:BR32)</f>
        <v>0</v>
      </c>
      <c r="BX32" s="405">
        <f>SUM(BS$11:BS32)</f>
        <v>0</v>
      </c>
      <c r="BY32" s="405">
        <f>SUM(BT$11:BT32)</f>
        <v>0</v>
      </c>
      <c r="BZ32" s="405">
        <f>SUM(BU$11:BU32)</f>
        <v>0</v>
      </c>
      <c r="CA32" s="439">
        <f>SUM(BV$11:BV32)</f>
        <v>0</v>
      </c>
      <c r="CB32" s="404">
        <f>BC32*0.5</f>
        <v>0</v>
      </c>
      <c r="CC32" s="405"/>
      <c r="CD32" s="402"/>
      <c r="CE32" s="438">
        <f>SUM(CB$11:CB32)</f>
        <v>0</v>
      </c>
      <c r="CF32" s="405">
        <f>SUM(CC$11:CC32)</f>
        <v>0</v>
      </c>
      <c r="CG32" s="439">
        <f>SUM(CD$11:CD32)</f>
        <v>0</v>
      </c>
      <c r="CH32" s="441">
        <f>AH32+AJ32</f>
        <v>0</v>
      </c>
      <c r="CI32" s="438">
        <f>AG32+AI32+AK32+AL32+AM32+AN32+AO32+AP32</f>
        <v>0</v>
      </c>
      <c r="CJ32" s="405">
        <f>SUM(AZ32:BD32)</f>
        <v>0</v>
      </c>
      <c r="CK32" s="405">
        <f>SUM(BJ32:BM32)</f>
        <v>0</v>
      </c>
      <c r="CL32" s="405">
        <f>SUM(BR32:BV32)</f>
        <v>0</v>
      </c>
      <c r="CM32" s="405">
        <f>CC32</f>
        <v>0</v>
      </c>
      <c r="CN32" s="402">
        <f>CD32</f>
        <v>0</v>
      </c>
      <c r="CO32" s="442">
        <f>CI32-CJ32-CK32-CL32+CM32+CN32</f>
        <v>0</v>
      </c>
      <c r="CP32" s="441">
        <f>SUM(CH$11:CH32)</f>
        <v>0</v>
      </c>
      <c r="CQ32" s="438">
        <f>SUM(CI$11:CI32)</f>
        <v>0</v>
      </c>
      <c r="CR32" s="405">
        <f>SUM(CJ$11:CJ32)</f>
        <v>0</v>
      </c>
      <c r="CS32" s="405">
        <f>SUM(CK$11:CK32)</f>
        <v>0</v>
      </c>
      <c r="CT32" s="405">
        <f>SUM(CL$11:CL32)</f>
        <v>0</v>
      </c>
      <c r="CU32" s="405">
        <f>SUM(CM$11:CM32)</f>
        <v>0</v>
      </c>
      <c r="CV32" s="405">
        <f>SUM(CN$11:CN32)</f>
        <v>0</v>
      </c>
      <c r="CW32" s="439">
        <f>SUM(CO$11:CO32)</f>
        <v>0</v>
      </c>
      <c r="CX32" s="443"/>
    </row>
    <row r="33" spans="2:102" s="416" customFormat="1" ht="12.75">
      <c r="B33" s="417">
        <v>41243</v>
      </c>
      <c r="C33" s="444"/>
      <c r="D33" s="420"/>
      <c r="E33" s="420"/>
      <c r="F33" s="368"/>
      <c r="G33" s="368"/>
      <c r="H33" s="445"/>
      <c r="I33" s="422">
        <f>SUM(C33:H33)</f>
        <v>0</v>
      </c>
      <c r="J33" s="420"/>
      <c r="K33" s="428"/>
      <c r="L33" s="372"/>
      <c r="M33" s="373"/>
      <c r="N33" s="446">
        <f>C33+D33/2.85+E33+K33*3.65</f>
        <v>0</v>
      </c>
      <c r="O33" s="420">
        <f>J33/4.95+K33*3.65</f>
        <v>0</v>
      </c>
      <c r="P33" s="368">
        <f>F33+G33/2.85</f>
        <v>0</v>
      </c>
      <c r="Q33" s="368">
        <f>L33/4.95</f>
        <v>0</v>
      </c>
      <c r="R33" s="376">
        <f>IF(M33=1,2,(IF(M33=2,6,IF(M33=3,12,IF(M33&gt;3,12+12*(M33-3),0)))))</f>
        <v>0</v>
      </c>
      <c r="S33" s="447">
        <f>IF(H33&gt;0,150+(50*(ROUNDUP(H33,0)-4)),0)</f>
        <v>0</v>
      </c>
      <c r="T33" s="426">
        <f>MAX(N33:O33,62)+MAX(P33:Q33)+R33</f>
        <v>62</v>
      </c>
      <c r="U33" s="427">
        <f>MAX(N33:O33,62)</f>
        <v>62</v>
      </c>
      <c r="V33" s="428">
        <f>T33-31</f>
        <v>31</v>
      </c>
      <c r="W33" s="447">
        <f>V33*$N$4+S32</f>
        <v>6293.3099999999995</v>
      </c>
      <c r="X33" s="420">
        <f>AH33+AJ33</f>
        <v>0</v>
      </c>
      <c r="Y33" s="429">
        <f>SUM(AI33,AK33,AL33)</f>
        <v>0</v>
      </c>
      <c r="Z33" s="427">
        <f>SUM(V$11:V33)</f>
        <v>682</v>
      </c>
      <c r="AA33" s="430">
        <f>CP33</f>
        <v>0</v>
      </c>
      <c r="AB33" s="427"/>
      <c r="AC33" s="431">
        <f>AB33*2.4</f>
        <v>0</v>
      </c>
      <c r="AD33" s="432">
        <f>CC33+CD33</f>
        <v>0</v>
      </c>
      <c r="AE33" s="433">
        <f>SUM(AC$12:AC33)</f>
        <v>0</v>
      </c>
      <c r="AF33" s="434">
        <f>SUM(AD$12:AD33)</f>
        <v>0</v>
      </c>
      <c r="AG33" s="437"/>
      <c r="AH33" s="436"/>
      <c r="AI33" s="402">
        <f>AH33*$N$3</f>
        <v>0</v>
      </c>
      <c r="AJ33" s="436"/>
      <c r="AK33" s="402">
        <f>AJ33*$N$4</f>
        <v>0</v>
      </c>
      <c r="AL33" s="437"/>
      <c r="AM33" s="437"/>
      <c r="AN33" s="438"/>
      <c r="AO33" s="405"/>
      <c r="AP33" s="439"/>
      <c r="AQ33" s="440">
        <f>SUM(AG$11:AG33)</f>
        <v>0</v>
      </c>
      <c r="AR33" s="436">
        <f>SUM(AH$11:AH33)</f>
        <v>0</v>
      </c>
      <c r="AS33" s="402">
        <f>SUM(AI$11:AI33)</f>
        <v>0</v>
      </c>
      <c r="AT33" s="436">
        <f>SUM(AJ$11:AJ33)</f>
        <v>0</v>
      </c>
      <c r="AU33" s="402">
        <f>SUM(AK$11:AK33)</f>
        <v>0</v>
      </c>
      <c r="AV33" s="438">
        <f>SUM(AM$11:AM33)</f>
        <v>0</v>
      </c>
      <c r="AW33" s="405">
        <f>SUM(AN$11:AN33)</f>
        <v>0</v>
      </c>
      <c r="AX33" s="405">
        <f>SUM(AO$11:AO33)</f>
        <v>0</v>
      </c>
      <c r="AY33" s="439">
        <f>SUM(AP$11:AP33)</f>
        <v>0</v>
      </c>
      <c r="AZ33" s="438"/>
      <c r="BA33" s="405"/>
      <c r="BB33" s="405"/>
      <c r="BC33" s="400">
        <f>0.1*(AI33+AK33+AL33-BB33)</f>
        <v>0</v>
      </c>
      <c r="BD33" s="405"/>
      <c r="BE33" s="405">
        <f>SUM(AZ$11:AZ33)</f>
        <v>0</v>
      </c>
      <c r="BF33" s="405">
        <f>SUM(BA$11:BA33)</f>
        <v>0</v>
      </c>
      <c r="BG33" s="405">
        <f>SUM(BB$11:BB33)</f>
        <v>0</v>
      </c>
      <c r="BH33" s="405">
        <f>SUM(BC$11:BC33)</f>
        <v>0</v>
      </c>
      <c r="BI33" s="439">
        <f>SUM(BD$11:BD33)</f>
        <v>0</v>
      </c>
      <c r="BJ33" s="438"/>
      <c r="BK33" s="405"/>
      <c r="BL33" s="405"/>
      <c r="BM33" s="402"/>
      <c r="BN33" s="438">
        <f>SUM(BJ$11:BJ33)</f>
        <v>0</v>
      </c>
      <c r="BO33" s="405">
        <f>SUM(BK$11:BK33)</f>
        <v>0</v>
      </c>
      <c r="BP33" s="405">
        <f>SUM(BL$11:BL33)</f>
        <v>0</v>
      </c>
      <c r="BQ33" s="439">
        <f>SUM(BM$11:BM33)</f>
        <v>0</v>
      </c>
      <c r="BR33" s="438">
        <f>AM33</f>
        <v>0</v>
      </c>
      <c r="BS33" s="405">
        <f>AN33</f>
        <v>0</v>
      </c>
      <c r="BT33" s="405">
        <f>AO33</f>
        <v>0</v>
      </c>
      <c r="BU33" s="405">
        <f>AP33</f>
        <v>0</v>
      </c>
      <c r="BV33" s="403">
        <f>(AI33+AK33+AL33)*0.0156</f>
        <v>0</v>
      </c>
      <c r="BW33" s="438">
        <f>SUM(BR$11:BR33)</f>
        <v>0</v>
      </c>
      <c r="BX33" s="405">
        <f>SUM(BS$11:BS33)</f>
        <v>0</v>
      </c>
      <c r="BY33" s="405">
        <f>SUM(BT$11:BT33)</f>
        <v>0</v>
      </c>
      <c r="BZ33" s="405">
        <f>SUM(BU$11:BU33)</f>
        <v>0</v>
      </c>
      <c r="CA33" s="439">
        <f>SUM(BV$11:BV33)</f>
        <v>0</v>
      </c>
      <c r="CB33" s="404">
        <f>BC33*0.5</f>
        <v>0</v>
      </c>
      <c r="CC33" s="405"/>
      <c r="CD33" s="402"/>
      <c r="CE33" s="438">
        <f>SUM(CB$11:CB33)</f>
        <v>0</v>
      </c>
      <c r="CF33" s="405">
        <f>SUM(CC$11:CC33)</f>
        <v>0</v>
      </c>
      <c r="CG33" s="439">
        <f>SUM(CD$11:CD33)</f>
        <v>0</v>
      </c>
      <c r="CH33" s="441">
        <f>AH33+AJ33</f>
        <v>0</v>
      </c>
      <c r="CI33" s="438">
        <f>AG33+AI33+AK33+AL33+AM33+AN33+AO33+AP33</f>
        <v>0</v>
      </c>
      <c r="CJ33" s="405">
        <f>SUM(AZ33:BD33)</f>
        <v>0</v>
      </c>
      <c r="CK33" s="405">
        <f>SUM(BJ33:BM33)</f>
        <v>0</v>
      </c>
      <c r="CL33" s="405">
        <f>SUM(BR33:BV33)</f>
        <v>0</v>
      </c>
      <c r="CM33" s="405">
        <f>CC33</f>
        <v>0</v>
      </c>
      <c r="CN33" s="402">
        <f>CD33</f>
        <v>0</v>
      </c>
      <c r="CO33" s="442">
        <f>CI33-CJ33-CK33-CL33+CM33+CN33</f>
        <v>0</v>
      </c>
      <c r="CP33" s="441">
        <f>SUM(CH$11:CH33)</f>
        <v>0</v>
      </c>
      <c r="CQ33" s="438">
        <f>SUM(CI$11:CI33)</f>
        <v>0</v>
      </c>
      <c r="CR33" s="405">
        <f>SUM(CJ$11:CJ33)</f>
        <v>0</v>
      </c>
      <c r="CS33" s="405">
        <f>SUM(CK$11:CK33)</f>
        <v>0</v>
      </c>
      <c r="CT33" s="405">
        <f>SUM(CL$11:CL33)</f>
        <v>0</v>
      </c>
      <c r="CU33" s="405">
        <f>SUM(CM$11:CM33)</f>
        <v>0</v>
      </c>
      <c r="CV33" s="405">
        <f>SUM(CN$11:CN33)</f>
        <v>0</v>
      </c>
      <c r="CW33" s="439">
        <f>SUM(CO$11:CO33)</f>
        <v>0</v>
      </c>
      <c r="CX33" s="443"/>
    </row>
    <row r="34" spans="2:102" s="364" customFormat="1" ht="12.75">
      <c r="B34" s="365">
        <v>41258</v>
      </c>
      <c r="C34" s="366" t="s">
        <v>136</v>
      </c>
      <c r="D34" s="367"/>
      <c r="E34" s="367"/>
      <c r="F34" s="368"/>
      <c r="G34" s="368"/>
      <c r="H34" s="369"/>
      <c r="I34" s="370"/>
      <c r="J34" s="366"/>
      <c r="K34" s="371" t="s">
        <v>129</v>
      </c>
      <c r="L34" s="372"/>
      <c r="M34" s="373"/>
      <c r="N34" s="448"/>
      <c r="O34" s="366"/>
      <c r="P34" s="368"/>
      <c r="Q34" s="368"/>
      <c r="R34" s="376"/>
      <c r="S34" s="449"/>
      <c r="T34" s="378"/>
      <c r="U34" s="379"/>
      <c r="V34" s="380">
        <v>31</v>
      </c>
      <c r="W34" s="381">
        <f>V34*$N$4+S33</f>
        <v>6293.3099999999995</v>
      </c>
      <c r="X34" s="382">
        <f>AH34+AJ34</f>
        <v>0</v>
      </c>
      <c r="Y34" s="383">
        <f>SUM(AI34,AK34,AL34)</f>
        <v>0</v>
      </c>
      <c r="Z34" s="379">
        <f>SUM(V$11:V34)</f>
        <v>713</v>
      </c>
      <c r="AA34" s="384">
        <f>CP34</f>
        <v>0</v>
      </c>
      <c r="AB34" s="379"/>
      <c r="AC34" s="385"/>
      <c r="AD34" s="386"/>
      <c r="AE34" s="387"/>
      <c r="AF34" s="388"/>
      <c r="AG34" s="414"/>
      <c r="AH34" s="390"/>
      <c r="AI34" s="391">
        <f>AH34*$N$3</f>
        <v>0</v>
      </c>
      <c r="AJ34" s="392"/>
      <c r="AK34" s="391">
        <f>AJ34*$N$4</f>
        <v>0</v>
      </c>
      <c r="AL34" s="393"/>
      <c r="AM34" s="389"/>
      <c r="AN34" s="394"/>
      <c r="AO34" s="395"/>
      <c r="AP34" s="396"/>
      <c r="AQ34" s="397">
        <f>SUM(AG$11:AG34)</f>
        <v>0</v>
      </c>
      <c r="AR34" s="390">
        <f>SUM(AH$11:AH34)</f>
        <v>0</v>
      </c>
      <c r="AS34" s="391">
        <f>SUM(AI$11:AI34)</f>
        <v>0</v>
      </c>
      <c r="AT34" s="390">
        <f>SUM(AJ$11:AJ34)</f>
        <v>0</v>
      </c>
      <c r="AU34" s="391">
        <f>SUM(AK$11:AK34)</f>
        <v>0</v>
      </c>
      <c r="AV34" s="394">
        <f>SUM(AM$11:AM34)</f>
        <v>0</v>
      </c>
      <c r="AW34" s="395">
        <f>SUM(AN$11:AN34)</f>
        <v>0</v>
      </c>
      <c r="AX34" s="395">
        <f>SUM(AO$11:AO34)</f>
        <v>0</v>
      </c>
      <c r="AY34" s="396">
        <f>SUM(AP$11:AP34)</f>
        <v>0</v>
      </c>
      <c r="AZ34" s="398"/>
      <c r="BA34" s="399"/>
      <c r="BB34" s="399"/>
      <c r="BC34" s="400">
        <f>0.1*(AI34+AK34+AL34-BB34)</f>
        <v>0</v>
      </c>
      <c r="BD34" s="399"/>
      <c r="BE34" s="399">
        <f>SUM(AZ$11:AZ34)</f>
        <v>0</v>
      </c>
      <c r="BF34" s="399">
        <f>SUM(BA$11:BA34)</f>
        <v>0</v>
      </c>
      <c r="BG34" s="399">
        <f>SUM(BB$11:BB34)</f>
        <v>0</v>
      </c>
      <c r="BH34" s="399">
        <f>SUM(BC$11:BC34)</f>
        <v>0</v>
      </c>
      <c r="BI34" s="401">
        <f>SUM(BD$11:BD34)</f>
        <v>0</v>
      </c>
      <c r="BJ34" s="394"/>
      <c r="BK34" s="395"/>
      <c r="BL34" s="395"/>
      <c r="BM34" s="402"/>
      <c r="BN34" s="394">
        <f>SUM(BJ$11:BJ34)</f>
        <v>0</v>
      </c>
      <c r="BO34" s="395">
        <f>SUM(BK$11:BK34)</f>
        <v>0</v>
      </c>
      <c r="BP34" s="395">
        <f>SUM(BL$11:BL34)</f>
        <v>0</v>
      </c>
      <c r="BQ34" s="396">
        <f>SUM(BM$11:BM34)</f>
        <v>0</v>
      </c>
      <c r="BR34" s="398">
        <f>AM34</f>
        <v>0</v>
      </c>
      <c r="BS34" s="399">
        <f>AN34</f>
        <v>0</v>
      </c>
      <c r="BT34" s="399">
        <f>AO34</f>
        <v>0</v>
      </c>
      <c r="BU34" s="399">
        <f>AP34</f>
        <v>0</v>
      </c>
      <c r="BV34" s="403">
        <f>(AI34+AK34+AL34)*0.0156</f>
        <v>0</v>
      </c>
      <c r="BW34" s="394">
        <f>SUM(BR$11:BR34)</f>
        <v>0</v>
      </c>
      <c r="BX34" s="395">
        <f>SUM(BS$11:BS34)</f>
        <v>0</v>
      </c>
      <c r="BY34" s="395">
        <f>SUM(BT$11:BT34)</f>
        <v>0</v>
      </c>
      <c r="BZ34" s="395">
        <f>SUM(BU$11:BU34)</f>
        <v>0</v>
      </c>
      <c r="CA34" s="396">
        <f>SUM(BV$11:BV34)</f>
        <v>0</v>
      </c>
      <c r="CB34" s="404">
        <f>BC34*0.5</f>
        <v>0</v>
      </c>
      <c r="CC34" s="405"/>
      <c r="CD34" s="406"/>
      <c r="CE34" s="394">
        <f>SUM(CB$11:CB34)</f>
        <v>0</v>
      </c>
      <c r="CF34" s="395">
        <f>SUM(CC$11:CC34)</f>
        <v>0</v>
      </c>
      <c r="CG34" s="396">
        <f>SUM(CD$11:CD34)</f>
        <v>0</v>
      </c>
      <c r="CH34" s="407">
        <f>AH34+AJ34</f>
        <v>0</v>
      </c>
      <c r="CI34" s="394">
        <f>AG34+AI34+AK34+AL34+AM34+AN34+AO34+AP34</f>
        <v>0</v>
      </c>
      <c r="CJ34" s="395">
        <f>SUM(AZ34:BD34)</f>
        <v>0</v>
      </c>
      <c r="CK34" s="395">
        <f>SUM(BJ34:BM34)</f>
        <v>0</v>
      </c>
      <c r="CL34" s="395">
        <f>SUM(BR34:BV34)</f>
        <v>0</v>
      </c>
      <c r="CM34" s="395">
        <f>CC34</f>
        <v>0</v>
      </c>
      <c r="CN34" s="391">
        <f>CD34</f>
        <v>0</v>
      </c>
      <c r="CO34" s="408">
        <f>CI34-CJ34-CK34-CL34+CM34+CN34</f>
        <v>0</v>
      </c>
      <c r="CP34" s="407">
        <f>SUM(CH$11:CH34)</f>
        <v>0</v>
      </c>
      <c r="CQ34" s="394">
        <f>SUM(CI$11:CI34)</f>
        <v>0</v>
      </c>
      <c r="CR34" s="395">
        <f>SUM(CJ$11:CJ34)</f>
        <v>0</v>
      </c>
      <c r="CS34" s="395">
        <f>SUM(CK$11:CK34)</f>
        <v>0</v>
      </c>
      <c r="CT34" s="395">
        <f>SUM(CL$11:CL34)</f>
        <v>0</v>
      </c>
      <c r="CU34" s="395">
        <f>SUM(CM$11:CM34)</f>
        <v>0</v>
      </c>
      <c r="CV34" s="395">
        <f>SUM(CN$11:CN34)</f>
        <v>0</v>
      </c>
      <c r="CW34" s="396">
        <f>SUM(CO$11:CO34)</f>
        <v>0</v>
      </c>
      <c r="CX34" s="409"/>
    </row>
    <row r="35" spans="2:102" s="450" customFormat="1" ht="12.75">
      <c r="B35" s="451">
        <v>41274</v>
      </c>
      <c r="C35" s="452"/>
      <c r="D35" s="452"/>
      <c r="E35" s="452"/>
      <c r="F35" s="453"/>
      <c r="G35" s="453"/>
      <c r="H35" s="454"/>
      <c r="I35" s="455">
        <f>SUM(C35:H35)</f>
        <v>0</v>
      </c>
      <c r="J35" s="452"/>
      <c r="K35" s="456"/>
      <c r="L35" s="457"/>
      <c r="M35" s="458"/>
      <c r="N35" s="459">
        <f>C35+D35/2.85+E35+K35*3.65</f>
        <v>0</v>
      </c>
      <c r="O35" s="452">
        <f>J35/4.95+K35*3.65</f>
        <v>0</v>
      </c>
      <c r="P35" s="453">
        <f>F35+G35/2.85</f>
        <v>0</v>
      </c>
      <c r="Q35" s="453">
        <f>L35/4.95</f>
        <v>0</v>
      </c>
      <c r="R35" s="460">
        <f>IF(M35=1,2,(IF(M35=2,6,IF(M35=3,12,IF(M35&gt;3,12+12*(M35-3),0)))))</f>
        <v>0</v>
      </c>
      <c r="S35" s="461">
        <f>IF(H35&gt;0,150+(50*(ROUNDUP(H35,0)-4)),0)</f>
        <v>0</v>
      </c>
      <c r="T35" s="462">
        <f>MAX(N35:O35,62)+MAX(P35:Q35)+R35</f>
        <v>62</v>
      </c>
      <c r="U35" s="463">
        <f>MAX(N35:O35,62)</f>
        <v>62</v>
      </c>
      <c r="V35" s="456">
        <f>T35-31</f>
        <v>31</v>
      </c>
      <c r="W35" s="461">
        <f>V35*$N$4+S34</f>
        <v>6293.3099999999995</v>
      </c>
      <c r="X35" s="464">
        <f>AH35+AJ35</f>
        <v>0</v>
      </c>
      <c r="Y35" s="465">
        <f>SUM(AI35,AK35,AL35)</f>
        <v>0</v>
      </c>
      <c r="Z35" s="463">
        <f>SUM(V$11:V35)</f>
        <v>744</v>
      </c>
      <c r="AA35" s="466">
        <f>CP35</f>
        <v>0</v>
      </c>
      <c r="AB35" s="463"/>
      <c r="AC35" s="467">
        <f>AB35*2.4</f>
        <v>0</v>
      </c>
      <c r="AD35" s="468">
        <f>CC35+CD35</f>
        <v>0</v>
      </c>
      <c r="AE35" s="469">
        <f>SUM(AC$12:AC35)</f>
        <v>0</v>
      </c>
      <c r="AF35" s="470">
        <f>SUM(AD$12:AD35)</f>
        <v>0</v>
      </c>
      <c r="AG35" s="471"/>
      <c r="AH35" s="472"/>
      <c r="AI35" s="473">
        <f>AH35*$N$3</f>
        <v>0</v>
      </c>
      <c r="AJ35" s="474"/>
      <c r="AK35" s="473">
        <f>AJ35*$N$4</f>
        <v>0</v>
      </c>
      <c r="AL35" s="475"/>
      <c r="AM35" s="476"/>
      <c r="AN35" s="477"/>
      <c r="AO35" s="478"/>
      <c r="AP35" s="479"/>
      <c r="AQ35" s="480">
        <f>SUM(AG$11:AG35)</f>
        <v>0</v>
      </c>
      <c r="AR35" s="472">
        <f>SUM(AH$11:AH35)</f>
        <v>0</v>
      </c>
      <c r="AS35" s="473">
        <f>SUM(AI$11:AI35)</f>
        <v>0</v>
      </c>
      <c r="AT35" s="472">
        <f>SUM(AJ$11:AJ35)</f>
        <v>0</v>
      </c>
      <c r="AU35" s="473">
        <f>SUM(AK$11:AK35)</f>
        <v>0</v>
      </c>
      <c r="AV35" s="477">
        <f>SUM(AM$11:AM35)</f>
        <v>0</v>
      </c>
      <c r="AW35" s="478">
        <f>SUM(AN$11:AN35)</f>
        <v>0</v>
      </c>
      <c r="AX35" s="478">
        <f>SUM(AO$11:AO35)</f>
        <v>0</v>
      </c>
      <c r="AY35" s="479">
        <f>SUM(AP$11:AP35)</f>
        <v>0</v>
      </c>
      <c r="AZ35" s="481"/>
      <c r="BA35" s="482"/>
      <c r="BB35" s="482"/>
      <c r="BC35" s="483">
        <f>0.1*(AI35+AK35+AL35-BB35)</f>
        <v>0</v>
      </c>
      <c r="BD35" s="482"/>
      <c r="BE35" s="482">
        <f>SUM(AZ$11:AZ35)</f>
        <v>0</v>
      </c>
      <c r="BF35" s="482">
        <f>SUM(BA$11:BA35)</f>
        <v>0</v>
      </c>
      <c r="BG35" s="482">
        <f>SUM(BB$11:BB35)</f>
        <v>0</v>
      </c>
      <c r="BH35" s="482">
        <f>SUM(BC$11:BC35)</f>
        <v>0</v>
      </c>
      <c r="BI35" s="484">
        <f>SUM(BD$11:BD35)</f>
        <v>0</v>
      </c>
      <c r="BJ35" s="477"/>
      <c r="BK35" s="478"/>
      <c r="BL35" s="478"/>
      <c r="BM35" s="485"/>
      <c r="BN35" s="477">
        <f>SUM(BJ$11:BJ35)</f>
        <v>0</v>
      </c>
      <c r="BO35" s="478">
        <f>SUM(BK$11:BK35)</f>
        <v>0</v>
      </c>
      <c r="BP35" s="478">
        <f>SUM(BL$11:BL35)</f>
        <v>0</v>
      </c>
      <c r="BQ35" s="479">
        <f>SUM(BM$11:BM35)</f>
        <v>0</v>
      </c>
      <c r="BR35" s="481">
        <f>AM35</f>
        <v>0</v>
      </c>
      <c r="BS35" s="482">
        <f>AN35</f>
        <v>0</v>
      </c>
      <c r="BT35" s="482">
        <f>AO35</f>
        <v>0</v>
      </c>
      <c r="BU35" s="482">
        <f>AP35</f>
        <v>0</v>
      </c>
      <c r="BV35" s="486">
        <f>(AI35+AK35+AL35)*0.0156</f>
        <v>0</v>
      </c>
      <c r="BW35" s="477">
        <f>SUM(BR$11:BR35)</f>
        <v>0</v>
      </c>
      <c r="BX35" s="478">
        <f>SUM(BS$11:BS35)</f>
        <v>0</v>
      </c>
      <c r="BY35" s="478">
        <f>SUM(BT$11:BT35)</f>
        <v>0</v>
      </c>
      <c r="BZ35" s="478">
        <f>SUM(BU$11:BU35)</f>
        <v>0</v>
      </c>
      <c r="CA35" s="479">
        <f>SUM(BV$11:BV35)</f>
        <v>0</v>
      </c>
      <c r="CB35" s="487">
        <f>BC35*0.5</f>
        <v>0</v>
      </c>
      <c r="CC35" s="488"/>
      <c r="CD35" s="489"/>
      <c r="CE35" s="477">
        <f>SUM(CB$11:CB35)</f>
        <v>0</v>
      </c>
      <c r="CF35" s="478">
        <f>SUM(CC$11:CC35)</f>
        <v>0</v>
      </c>
      <c r="CG35" s="479">
        <f>SUM(CD$11:CD35)</f>
        <v>0</v>
      </c>
      <c r="CH35" s="490">
        <f>AH35+AJ35</f>
        <v>0</v>
      </c>
      <c r="CI35" s="477">
        <f>AG35+AI35+AK35+AL35+AM35+AN35+AO35+AP35</f>
        <v>0</v>
      </c>
      <c r="CJ35" s="478">
        <f>SUM(AZ35:BD35)</f>
        <v>0</v>
      </c>
      <c r="CK35" s="478">
        <f>SUM(BJ35:BM35)</f>
        <v>0</v>
      </c>
      <c r="CL35" s="478">
        <f>SUM(BR35:BV35)</f>
        <v>0</v>
      </c>
      <c r="CM35" s="478">
        <f>CC35</f>
        <v>0</v>
      </c>
      <c r="CN35" s="473">
        <f>CD35</f>
        <v>0</v>
      </c>
      <c r="CO35" s="491">
        <f>CI35-CJ35-CK35-CL35+CM35+CN35</f>
        <v>0</v>
      </c>
      <c r="CP35" s="490">
        <f>SUM(CH$11:CH35)</f>
        <v>0</v>
      </c>
      <c r="CQ35" s="477">
        <f>SUM(CI$11:CI35)</f>
        <v>0</v>
      </c>
      <c r="CR35" s="478">
        <f>SUM(CJ$11:CJ35)</f>
        <v>0</v>
      </c>
      <c r="CS35" s="478">
        <f>SUM(CK$11:CK35)</f>
        <v>0</v>
      </c>
      <c r="CT35" s="478">
        <f>SUM(CL$11:CL35)</f>
        <v>0</v>
      </c>
      <c r="CU35" s="478">
        <f>SUM(CM$11:CM35)</f>
        <v>0</v>
      </c>
      <c r="CV35" s="478">
        <f>SUM(CN$11:CN35)</f>
        <v>0</v>
      </c>
      <c r="CW35" s="479">
        <f>SUM(CO$11:CO35)</f>
        <v>0</v>
      </c>
      <c r="CX35" s="492"/>
    </row>
    <row r="36" spans="2:101" ht="12.75">
      <c r="B36" s="493"/>
      <c r="C36" s="494" t="s">
        <v>121</v>
      </c>
      <c r="D36" s="495"/>
      <c r="E36" s="496"/>
      <c r="F36" s="497"/>
      <c r="G36" s="496"/>
      <c r="H36" s="497"/>
      <c r="I36" s="288"/>
      <c r="J36" s="498"/>
      <c r="K36" s="287"/>
      <c r="L36" s="497"/>
      <c r="M36" s="499"/>
      <c r="N36" s="500"/>
      <c r="O36" s="497"/>
      <c r="P36" s="497"/>
      <c r="Q36" s="497"/>
      <c r="R36" s="287"/>
      <c r="S36" s="501"/>
      <c r="T36" s="288"/>
      <c r="U36" s="289"/>
      <c r="V36" s="290"/>
      <c r="W36" s="291"/>
      <c r="X36" s="496"/>
      <c r="Y36" s="291"/>
      <c r="Z36" s="289"/>
      <c r="AA36" s="294"/>
      <c r="AB36" s="289"/>
      <c r="AC36" s="295"/>
      <c r="AD36" s="298"/>
      <c r="AE36" s="297"/>
      <c r="AF36" s="298"/>
      <c r="AG36" s="502"/>
      <c r="AH36" s="325"/>
      <c r="AI36" s="310"/>
      <c r="AJ36" s="325"/>
      <c r="AK36" s="310"/>
      <c r="AL36" s="310"/>
      <c r="AM36" s="310"/>
      <c r="AN36" s="310"/>
      <c r="AO36" s="310"/>
      <c r="AP36" s="310"/>
      <c r="AQ36" s="310"/>
      <c r="AR36" s="325"/>
      <c r="AS36" s="310"/>
      <c r="AT36" s="325"/>
      <c r="AU36" s="310"/>
      <c r="AV36" s="310"/>
      <c r="AW36" s="310"/>
      <c r="AX36" s="310"/>
      <c r="AY36" s="310"/>
      <c r="AZ36" s="306"/>
      <c r="BA36" s="311"/>
      <c r="BB36" s="311"/>
      <c r="BC36" s="311"/>
      <c r="BD36" s="323"/>
      <c r="BE36" s="310"/>
      <c r="BF36" s="310"/>
      <c r="BG36" s="310"/>
      <c r="BH36" s="310"/>
      <c r="BI36" s="310"/>
      <c r="BJ36" s="310"/>
      <c r="BK36" s="310"/>
      <c r="BL36" s="310"/>
      <c r="BM36" s="503"/>
      <c r="BN36" s="310"/>
      <c r="BO36" s="310"/>
      <c r="BP36" s="310"/>
      <c r="BQ36" s="310"/>
      <c r="BR36" s="310"/>
      <c r="BS36" s="310"/>
      <c r="BT36" s="310"/>
      <c r="BU36" s="310"/>
      <c r="BV36" s="504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25"/>
      <c r="CI36" s="310"/>
      <c r="CJ36" s="310"/>
      <c r="CK36" s="310"/>
      <c r="CL36" s="310"/>
      <c r="CM36" s="310"/>
      <c r="CN36" s="310"/>
      <c r="CO36" s="503"/>
      <c r="CP36" s="505"/>
      <c r="CQ36" s="310"/>
      <c r="CR36" s="310"/>
      <c r="CS36" s="310"/>
      <c r="CT36" s="310"/>
      <c r="CU36" s="310"/>
      <c r="CV36" s="310"/>
      <c r="CW36" s="310"/>
    </row>
    <row r="37" spans="2:101" ht="12.75">
      <c r="B37" s="493" t="s">
        <v>137</v>
      </c>
      <c r="C37" s="277"/>
      <c r="D37" s="495"/>
      <c r="E37" s="496"/>
      <c r="F37" s="497"/>
      <c r="G37" s="496"/>
      <c r="H37" s="497"/>
      <c r="I37" s="288">
        <f>SUM(C37:H37)</f>
        <v>0</v>
      </c>
      <c r="J37" s="495"/>
      <c r="K37" s="294"/>
      <c r="L37" s="497"/>
      <c r="M37" s="499"/>
      <c r="N37" s="506">
        <f>C37+D37/2.85+E37+K37*3.65</f>
        <v>0</v>
      </c>
      <c r="O37" s="496">
        <f>J37/4.95+K37*3.65</f>
        <v>0</v>
      </c>
      <c r="P37" s="497">
        <f>F37+G37/2.85</f>
        <v>0</v>
      </c>
      <c r="Q37" s="497">
        <f>L37/4.95</f>
        <v>0</v>
      </c>
      <c r="R37" s="507">
        <f>IF(M37=1,2,(IF(M37=2,6,IF(M37=3,12,IF(M37&gt;3,12+12*(M37-3),0)))))</f>
        <v>0</v>
      </c>
      <c r="S37" s="508">
        <f>IF(H37&gt;0,150+(50*(ROUNDUP(H37,0)-4)),0)</f>
        <v>0</v>
      </c>
      <c r="T37" s="288">
        <f>MAX(N37:O37,62)+MAX(P37:Q37)+R37</f>
        <v>62</v>
      </c>
      <c r="U37" s="289">
        <f>MAX(N37:O37,62)</f>
        <v>62</v>
      </c>
      <c r="V37" s="290">
        <f>T37-31</f>
        <v>31</v>
      </c>
      <c r="W37" s="291">
        <f>V37*$N$3+S37</f>
        <v>6231</v>
      </c>
      <c r="X37" s="496"/>
      <c r="Y37" s="291"/>
      <c r="Z37" s="289">
        <f>SUM(V$11:V37)</f>
        <v>775</v>
      </c>
      <c r="AA37" s="294"/>
      <c r="AB37" s="289"/>
      <c r="AC37" s="295">
        <f>AB37*2.4</f>
        <v>0</v>
      </c>
      <c r="AD37" s="298"/>
      <c r="AE37" s="297"/>
      <c r="AF37" s="298"/>
      <c r="AG37" s="502"/>
      <c r="AH37" s="325"/>
      <c r="AI37" s="310"/>
      <c r="AJ37" s="325"/>
      <c r="AK37" s="310"/>
      <c r="AL37" s="310"/>
      <c r="AM37" s="310"/>
      <c r="AN37" s="310"/>
      <c r="AO37" s="310"/>
      <c r="AP37" s="310"/>
      <c r="AQ37" s="310"/>
      <c r="AR37" s="325"/>
      <c r="AS37" s="310"/>
      <c r="AT37" s="325"/>
      <c r="AU37" s="310"/>
      <c r="AV37" s="310"/>
      <c r="AW37" s="310"/>
      <c r="AX37" s="310"/>
      <c r="AY37" s="310"/>
      <c r="AZ37" s="306"/>
      <c r="BA37" s="311"/>
      <c r="BB37" s="311"/>
      <c r="BC37" s="311"/>
      <c r="BD37" s="323"/>
      <c r="BE37" s="310"/>
      <c r="BF37" s="310"/>
      <c r="BG37" s="310"/>
      <c r="BH37" s="310"/>
      <c r="BI37" s="310"/>
      <c r="BJ37" s="310"/>
      <c r="BK37" s="310"/>
      <c r="BL37" s="310"/>
      <c r="BM37" s="503"/>
      <c r="BN37" s="310"/>
      <c r="BO37" s="310"/>
      <c r="BP37" s="310"/>
      <c r="BQ37" s="310"/>
      <c r="BR37" s="310"/>
      <c r="BS37" s="310"/>
      <c r="BT37" s="310"/>
      <c r="BU37" s="310"/>
      <c r="BV37" s="509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25"/>
      <c r="CI37" s="310"/>
      <c r="CJ37" s="310"/>
      <c r="CK37" s="310"/>
      <c r="CL37" s="310"/>
      <c r="CM37" s="310"/>
      <c r="CN37" s="310"/>
      <c r="CO37" s="503"/>
      <c r="CP37" s="505"/>
      <c r="CQ37" s="310"/>
      <c r="CR37" s="310"/>
      <c r="CS37" s="310"/>
      <c r="CT37" s="310"/>
      <c r="CU37" s="310"/>
      <c r="CV37" s="310"/>
      <c r="CW37" s="310"/>
    </row>
  </sheetData>
  <sheetProtection selectLockedCells="1" selectUnlockedCells="1"/>
  <mergeCells count="28">
    <mergeCell ref="U7:AA7"/>
    <mergeCell ref="AB7:AF7"/>
    <mergeCell ref="AG7:AY7"/>
    <mergeCell ref="AZ7:BI7"/>
    <mergeCell ref="BJ7:BQ7"/>
    <mergeCell ref="BR7:CA7"/>
    <mergeCell ref="CB7:CG7"/>
    <mergeCell ref="CH7:CW7"/>
    <mergeCell ref="AG8:AP8"/>
    <mergeCell ref="AQ8:AY8"/>
    <mergeCell ref="AZ8:BD8"/>
    <mergeCell ref="BE8:BI8"/>
    <mergeCell ref="BJ8:BM8"/>
    <mergeCell ref="BN8:BQ8"/>
    <mergeCell ref="BR8:BV8"/>
    <mergeCell ref="BW8:CA8"/>
    <mergeCell ref="CB8:CD8"/>
    <mergeCell ref="CE8:CG8"/>
    <mergeCell ref="CH8:CO8"/>
    <mergeCell ref="CP8:CW8"/>
    <mergeCell ref="AH9:AI9"/>
    <mergeCell ref="AJ9:AK9"/>
    <mergeCell ref="AN9:AP9"/>
    <mergeCell ref="AR9:AS9"/>
    <mergeCell ref="AT9:AU9"/>
    <mergeCell ref="AW9:AY9"/>
    <mergeCell ref="CC9:CD9"/>
    <mergeCell ref="CF9:CG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workbookViewId="0" topLeftCell="A1">
      <selection activeCell="D4" sqref="D4"/>
    </sheetView>
  </sheetViews>
  <sheetFormatPr defaultColWidth="12.57421875" defaultRowHeight="12.75"/>
  <cols>
    <col min="1" max="16384" width="11.57421875" style="0" customWidth="1"/>
  </cols>
  <sheetData>
    <row r="2" spans="2:8" ht="12.75" customHeight="1">
      <c r="B2" s="510"/>
      <c r="C2" s="511" t="s">
        <v>138</v>
      </c>
      <c r="D2" s="511"/>
      <c r="E2" s="511" t="s">
        <v>139</v>
      </c>
      <c r="F2" s="511"/>
      <c r="G2" s="511" t="s">
        <v>140</v>
      </c>
      <c r="H2" s="511"/>
    </row>
    <row r="3" spans="2:8" ht="12.75">
      <c r="B3" s="512" t="s">
        <v>141</v>
      </c>
      <c r="C3" s="511" t="s">
        <v>142</v>
      </c>
      <c r="D3" s="511" t="s">
        <v>143</v>
      </c>
      <c r="E3" s="510" t="s">
        <v>142</v>
      </c>
      <c r="F3" s="510" t="s">
        <v>143</v>
      </c>
      <c r="G3" s="510" t="s">
        <v>142</v>
      </c>
      <c r="H3" s="510" t="s">
        <v>143</v>
      </c>
    </row>
    <row r="4" spans="2:8" ht="12.75">
      <c r="B4" s="512">
        <v>1</v>
      </c>
      <c r="C4" s="513">
        <v>145.21</v>
      </c>
      <c r="D4" s="514">
        <v>75</v>
      </c>
      <c r="E4" s="510" t="s">
        <v>15</v>
      </c>
      <c r="F4" s="510" t="s">
        <v>15</v>
      </c>
      <c r="G4" s="510" t="s">
        <v>15</v>
      </c>
      <c r="H4" s="510" t="s">
        <v>15</v>
      </c>
    </row>
    <row r="5" spans="2:8" ht="12.75">
      <c r="B5" s="512">
        <v>2</v>
      </c>
      <c r="C5" s="513">
        <v>149.56</v>
      </c>
      <c r="D5" s="514">
        <v>94.22</v>
      </c>
      <c r="E5" s="515">
        <f>0.9197*C5</f>
        <v>137.55033200000003</v>
      </c>
      <c r="F5" s="515">
        <f>0.9197*D5</f>
        <v>86.654134</v>
      </c>
      <c r="G5" s="515">
        <f>0.8394*C5</f>
        <v>125.540664</v>
      </c>
      <c r="H5" s="515">
        <f>0.8394*D5</f>
        <v>79.088268</v>
      </c>
    </row>
    <row r="6" spans="2:8" ht="12.75">
      <c r="B6" s="512">
        <v>3</v>
      </c>
      <c r="C6" s="513">
        <v>154.05</v>
      </c>
      <c r="D6" s="514">
        <v>99.36</v>
      </c>
      <c r="E6" s="515">
        <f>0.9197*C6</f>
        <v>141.679785</v>
      </c>
      <c r="F6" s="515">
        <f>0.9197*D6</f>
        <v>91.381392</v>
      </c>
      <c r="G6" s="515">
        <f>0.8394*C6</f>
        <v>129.30957</v>
      </c>
      <c r="H6" s="515">
        <f>0.8394*D6</f>
        <v>83.402784</v>
      </c>
    </row>
    <row r="7" spans="2:8" ht="12.75">
      <c r="B7" s="512">
        <v>4</v>
      </c>
      <c r="C7" s="513">
        <v>158.67</v>
      </c>
      <c r="D7" s="514">
        <v>104.72</v>
      </c>
      <c r="E7" s="515">
        <f>0.9197*C7</f>
        <v>145.928799</v>
      </c>
      <c r="F7" s="515">
        <f>0.9197*D7</f>
        <v>96.310984</v>
      </c>
      <c r="G7" s="515">
        <f>0.8394*C7</f>
        <v>133.187598</v>
      </c>
      <c r="H7" s="515">
        <f>0.8394*D7</f>
        <v>87.901968</v>
      </c>
    </row>
    <row r="8" spans="2:8" ht="12.75">
      <c r="B8" s="512">
        <v>5</v>
      </c>
      <c r="C8" s="513">
        <v>163.43</v>
      </c>
      <c r="D8" s="514">
        <v>110.32</v>
      </c>
      <c r="E8" s="515">
        <f>0.9197*C8</f>
        <v>150.30657100000002</v>
      </c>
      <c r="F8" s="515">
        <f>0.9197*D8</f>
        <v>101.461304</v>
      </c>
      <c r="G8" s="515">
        <f>0.8394*C8</f>
        <v>137.183142</v>
      </c>
      <c r="H8" s="515">
        <f>0.8394*D8</f>
        <v>92.602608</v>
      </c>
    </row>
    <row r="9" spans="2:8" ht="12.75">
      <c r="B9" s="512">
        <v>6</v>
      </c>
      <c r="C9" s="513">
        <v>168.33</v>
      </c>
      <c r="D9" s="514">
        <v>116.15</v>
      </c>
      <c r="E9" s="515">
        <f>0.9197*C9</f>
        <v>154.81310100000002</v>
      </c>
      <c r="F9" s="515">
        <f>0.9197*D9</f>
        <v>106.82315500000001</v>
      </c>
      <c r="G9" s="515">
        <f>0.8394*C9</f>
        <v>141.29620200000002</v>
      </c>
      <c r="H9" s="515">
        <f>0.8394*D9</f>
        <v>97.49631000000001</v>
      </c>
    </row>
    <row r="10" spans="2:8" ht="12.75">
      <c r="B10" s="512">
        <v>7</v>
      </c>
      <c r="C10" s="513">
        <v>173.38</v>
      </c>
      <c r="D10" s="514">
        <v>121.37</v>
      </c>
      <c r="E10" s="515">
        <f>0.9197*C10</f>
        <v>159.45758600000002</v>
      </c>
      <c r="F10" s="515">
        <f>0.9197*D10</f>
        <v>111.62398900000001</v>
      </c>
      <c r="G10" s="515">
        <f>0.8394*C10</f>
        <v>145.535172</v>
      </c>
      <c r="H10" s="515">
        <f>0.8394*D10</f>
        <v>101.87797800000001</v>
      </c>
    </row>
    <row r="11" spans="2:8" ht="12.75">
      <c r="B11" s="512">
        <v>8</v>
      </c>
      <c r="C11" s="513">
        <v>178.59</v>
      </c>
      <c r="D11" s="514">
        <v>125.01</v>
      </c>
      <c r="E11" s="515">
        <f>0.9197*C11</f>
        <v>164.24922300000003</v>
      </c>
      <c r="F11" s="515">
        <f>0.9197*D11</f>
        <v>114.97169700000002</v>
      </c>
      <c r="G11" s="515">
        <f>0.8394*C11</f>
        <v>149.908446</v>
      </c>
      <c r="H11" s="515">
        <f>0.8394*D11</f>
        <v>104.933394</v>
      </c>
    </row>
    <row r="12" spans="2:8" ht="12.75">
      <c r="B12" s="512">
        <v>9</v>
      </c>
      <c r="C12" s="513">
        <v>183.94</v>
      </c>
      <c r="D12" s="514">
        <v>128.76</v>
      </c>
      <c r="E12" s="515">
        <f>0.9197*C12</f>
        <v>169.169618</v>
      </c>
      <c r="F12" s="515">
        <f>0.9197*D12</f>
        <v>118.420572</v>
      </c>
      <c r="G12" s="515">
        <f>0.8394*C12</f>
        <v>154.399236</v>
      </c>
      <c r="H12" s="515">
        <f>0.8394*D12</f>
        <v>108.081144</v>
      </c>
    </row>
    <row r="13" spans="2:8" ht="12.75">
      <c r="B13" s="512">
        <v>10</v>
      </c>
      <c r="C13" s="513">
        <v>189.46</v>
      </c>
      <c r="D13" s="514">
        <v>132.62</v>
      </c>
      <c r="E13" s="515">
        <f>0.9197*C13</f>
        <v>174.24636200000003</v>
      </c>
      <c r="F13" s="515">
        <f>0.9197*D13</f>
        <v>121.97061400000001</v>
      </c>
      <c r="G13" s="515">
        <f>0.8394*C13</f>
        <v>159.032724</v>
      </c>
      <c r="H13" s="515">
        <f>0.8394*D13</f>
        <v>111.321228</v>
      </c>
    </row>
    <row r="14" spans="2:8" ht="12.75">
      <c r="B14" s="512">
        <v>11</v>
      </c>
      <c r="C14" s="513">
        <v>195.15</v>
      </c>
      <c r="D14" s="514">
        <v>136.6</v>
      </c>
      <c r="E14" s="515">
        <f>0.9197*C14</f>
        <v>179.47945500000003</v>
      </c>
      <c r="F14" s="515">
        <f>0.9197*D14</f>
        <v>125.63102</v>
      </c>
      <c r="G14" s="515">
        <f>0.8394*C14</f>
        <v>163.80891000000003</v>
      </c>
      <c r="H14" s="515">
        <f>0.8394*D14</f>
        <v>114.66204</v>
      </c>
    </row>
    <row r="15" spans="2:8" ht="12.75">
      <c r="B15" s="512">
        <v>12</v>
      </c>
      <c r="C15" s="513">
        <v>201</v>
      </c>
      <c r="D15" s="514">
        <v>140.7</v>
      </c>
      <c r="E15" s="515">
        <f>0.9197*C15</f>
        <v>184.8597</v>
      </c>
      <c r="F15" s="515">
        <f>0.9197*D15</f>
        <v>129.40179</v>
      </c>
      <c r="G15" s="515">
        <f>0.8394*C15</f>
        <v>168.7194</v>
      </c>
      <c r="H15" s="515">
        <f>0.8394*D15</f>
        <v>118.10358</v>
      </c>
    </row>
    <row r="16" spans="2:8" ht="12.75" customHeight="1">
      <c r="B16" s="516" t="s">
        <v>144</v>
      </c>
      <c r="C16" s="516"/>
      <c r="D16" s="516"/>
      <c r="E16" s="1"/>
      <c r="F16" s="1"/>
      <c r="G16" s="1"/>
      <c r="H16" s="1"/>
    </row>
  </sheetData>
  <sheetProtection selectLockedCells="1" selectUnlockedCells="1"/>
  <mergeCells count="4">
    <mergeCell ref="C2:D2"/>
    <mergeCell ref="E2:F2"/>
    <mergeCell ref="G2:H2"/>
    <mergeCell ref="B16:D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4"/>
  <sheetViews>
    <sheetView showGridLines="0" workbookViewId="0" topLeftCell="A1">
      <selection activeCell="N33" sqref="N33"/>
    </sheetView>
  </sheetViews>
  <sheetFormatPr defaultColWidth="14.8515625" defaultRowHeight="12.75"/>
  <cols>
    <col min="1" max="1" width="3.00390625" style="1" customWidth="1"/>
    <col min="2" max="6" width="14.8515625" style="1" customWidth="1"/>
    <col min="7" max="7" width="16.57421875" style="1" customWidth="1"/>
    <col min="8" max="8" width="11.57421875" style="1" customWidth="1"/>
    <col min="9" max="16384" width="14.8515625" style="1" customWidth="1"/>
  </cols>
  <sheetData>
    <row r="1" ht="17.25">
      <c r="B1" s="2"/>
    </row>
    <row r="2" ht="12.75">
      <c r="B2" s="8"/>
    </row>
    <row r="3" spans="2:10" ht="12.75">
      <c r="B3" s="20"/>
      <c r="C3" s="20"/>
      <c r="D3" s="20"/>
      <c r="E3" s="20"/>
      <c r="F3" s="20"/>
      <c r="G3" s="20"/>
      <c r="H3" s="20"/>
      <c r="I3" s="20"/>
      <c r="J3" s="20"/>
    </row>
    <row r="4" spans="2:9" ht="12.75">
      <c r="B4" s="517" t="s">
        <v>6</v>
      </c>
      <c r="C4" s="517" t="s">
        <v>7</v>
      </c>
      <c r="D4" s="517" t="s">
        <v>145</v>
      </c>
      <c r="E4" s="517" t="s">
        <v>17</v>
      </c>
      <c r="F4" s="517" t="s">
        <v>146</v>
      </c>
      <c r="G4" s="20"/>
      <c r="H4" s="20"/>
      <c r="I4" s="20"/>
    </row>
    <row r="5" spans="2:9" ht="12.75">
      <c r="B5" s="518">
        <v>173.9</v>
      </c>
      <c r="C5" s="518">
        <v>2.35</v>
      </c>
      <c r="D5" s="518">
        <v>3</v>
      </c>
      <c r="E5" s="519">
        <v>62</v>
      </c>
      <c r="F5" s="519">
        <v>17</v>
      </c>
      <c r="G5" s="20"/>
      <c r="H5" s="20"/>
      <c r="I5" s="20"/>
    </row>
    <row r="6" spans="2:9" ht="12.75" hidden="1">
      <c r="B6" s="20">
        <f>E5</f>
        <v>62</v>
      </c>
      <c r="C6" s="20">
        <f>B6</f>
        <v>62</v>
      </c>
      <c r="D6" s="20">
        <f>C6</f>
        <v>62</v>
      </c>
      <c r="E6" s="20">
        <f>D6</f>
        <v>62</v>
      </c>
      <c r="F6" s="20">
        <f>E6</f>
        <v>62</v>
      </c>
      <c r="G6" s="20">
        <f>F6</f>
        <v>62</v>
      </c>
      <c r="H6" s="20">
        <f>G6</f>
        <v>62</v>
      </c>
      <c r="I6" s="20">
        <f>H6</f>
        <v>62</v>
      </c>
    </row>
    <row r="7" spans="2:9" ht="12.75" hidden="1">
      <c r="B7" s="20">
        <f>F5</f>
        <v>17</v>
      </c>
      <c r="C7" s="20">
        <f>B7</f>
        <v>17</v>
      </c>
      <c r="D7" s="20">
        <f>C7</f>
        <v>17</v>
      </c>
      <c r="E7" s="20">
        <f>D7</f>
        <v>17</v>
      </c>
      <c r="F7" s="20">
        <f>E7</f>
        <v>17</v>
      </c>
      <c r="G7" s="20">
        <f>F7</f>
        <v>17</v>
      </c>
      <c r="H7" s="20">
        <f>G7</f>
        <v>17</v>
      </c>
      <c r="I7" s="20">
        <f>H7</f>
        <v>17</v>
      </c>
    </row>
    <row r="8" spans="2:9" ht="12.75" hidden="1">
      <c r="B8" s="20">
        <f>B5</f>
        <v>173.9</v>
      </c>
      <c r="C8" s="20">
        <f>B8</f>
        <v>173.9</v>
      </c>
      <c r="D8" s="20">
        <f>C8</f>
        <v>173.9</v>
      </c>
      <c r="E8" s="20">
        <f>D8</f>
        <v>173.9</v>
      </c>
      <c r="F8" s="20">
        <f>E8</f>
        <v>173.9</v>
      </c>
      <c r="G8" s="20">
        <f>F8</f>
        <v>173.9</v>
      </c>
      <c r="H8" s="20">
        <f>G8</f>
        <v>173.9</v>
      </c>
      <c r="I8" s="20">
        <f>H8</f>
        <v>173.9</v>
      </c>
    </row>
    <row r="9" spans="2:9" ht="12.75" hidden="1">
      <c r="B9" s="20">
        <f>B6/B7</f>
        <v>3.6470588235294117</v>
      </c>
      <c r="C9" s="20">
        <f>C6/C7</f>
        <v>3.6470588235294117</v>
      </c>
      <c r="D9" s="20">
        <f>D6/D7</f>
        <v>3.6470588235294117</v>
      </c>
      <c r="E9" s="20">
        <f>E6/E7</f>
        <v>3.6470588235294117</v>
      </c>
      <c r="F9" s="20">
        <f>F6/F7</f>
        <v>3.6470588235294117</v>
      </c>
      <c r="G9" s="20">
        <f>G6/G7</f>
        <v>3.6470588235294117</v>
      </c>
      <c r="H9" s="20">
        <f>H6/H7</f>
        <v>3.6470588235294117</v>
      </c>
      <c r="I9" s="20">
        <f>I6/I7</f>
        <v>3.6470588235294117</v>
      </c>
    </row>
    <row r="10" spans="2:9" ht="12.75">
      <c r="B10" s="20"/>
      <c r="C10" s="20"/>
      <c r="D10" s="20"/>
      <c r="E10" s="20"/>
      <c r="F10" s="20"/>
      <c r="G10" s="20"/>
      <c r="H10" s="20"/>
      <c r="I10" s="20"/>
    </row>
    <row r="11" spans="2:9" ht="12.75">
      <c r="B11" s="517" t="s">
        <v>147</v>
      </c>
      <c r="C11" s="517" t="s">
        <v>148</v>
      </c>
      <c r="D11" s="517">
        <v>1234</v>
      </c>
      <c r="E11" s="517" t="s">
        <v>149</v>
      </c>
      <c r="F11" s="517" t="s">
        <v>150</v>
      </c>
      <c r="G11" s="517">
        <v>5</v>
      </c>
      <c r="H11" s="517">
        <v>6</v>
      </c>
      <c r="I11" s="517" t="s">
        <v>151</v>
      </c>
    </row>
    <row r="12" spans="2:9" ht="25.5" customHeight="1">
      <c r="B12" s="517"/>
      <c r="C12" s="517" t="s">
        <v>152</v>
      </c>
      <c r="D12" s="517" t="s">
        <v>153</v>
      </c>
      <c r="E12" s="517" t="s">
        <v>154</v>
      </c>
      <c r="F12" s="517"/>
      <c r="G12" s="517"/>
      <c r="H12" s="517"/>
      <c r="I12" s="517"/>
    </row>
    <row r="13" spans="2:9" ht="24.75">
      <c r="B13" s="517" t="s">
        <v>155</v>
      </c>
      <c r="C13" s="520">
        <v>1</v>
      </c>
      <c r="D13" s="521" t="s">
        <v>156</v>
      </c>
      <c r="E13" s="520">
        <v>1.5</v>
      </c>
      <c r="F13" s="520">
        <v>1.75</v>
      </c>
      <c r="G13" s="520">
        <v>2</v>
      </c>
      <c r="H13" s="520">
        <v>2.25</v>
      </c>
      <c r="I13" s="520">
        <v>2.5</v>
      </c>
    </row>
    <row r="14" spans="2:9" ht="12.75">
      <c r="B14" s="517" t="s">
        <v>157</v>
      </c>
      <c r="C14" s="520">
        <v>1</v>
      </c>
      <c r="D14" s="522">
        <v>1.25</v>
      </c>
      <c r="E14" s="520">
        <v>1.5</v>
      </c>
      <c r="F14" s="520">
        <v>1.75</v>
      </c>
      <c r="G14" s="520">
        <v>2</v>
      </c>
      <c r="H14" s="520">
        <v>2.25</v>
      </c>
      <c r="I14" s="520">
        <v>2.5</v>
      </c>
    </row>
    <row r="15" spans="2:9" ht="12.75">
      <c r="B15" s="517" t="s">
        <v>158</v>
      </c>
      <c r="C15" s="523">
        <f>C9*C14</f>
        <v>3.6470588235294117</v>
      </c>
      <c r="D15" s="523">
        <f>D9*D14</f>
        <v>4.5588235294117645</v>
      </c>
      <c r="E15" s="523">
        <f>E9*E14</f>
        <v>5.470588235294118</v>
      </c>
      <c r="F15" s="523">
        <f>F9*F14</f>
        <v>6.38235294117647</v>
      </c>
      <c r="G15" s="523">
        <f>G9*G14</f>
        <v>7.294117647058823</v>
      </c>
      <c r="H15" s="523">
        <f>H9*H14</f>
        <v>8.205882352941176</v>
      </c>
      <c r="I15" s="523">
        <f>I9*I14</f>
        <v>9.117647058823529</v>
      </c>
    </row>
    <row r="16" spans="2:9" ht="12.75">
      <c r="B16" s="517" t="s">
        <v>159</v>
      </c>
      <c r="C16" s="524">
        <f>C15*C8</f>
        <v>634.2235294117647</v>
      </c>
      <c r="D16" s="524">
        <f>D15*D8</f>
        <v>792.7794117647059</v>
      </c>
      <c r="E16" s="524">
        <f>E15*E8</f>
        <v>951.3352941176471</v>
      </c>
      <c r="F16" s="524">
        <f>F15*F8</f>
        <v>1109.891176470588</v>
      </c>
      <c r="G16" s="524">
        <f>G15*G8</f>
        <v>1268.4470588235295</v>
      </c>
      <c r="H16" s="524">
        <f>H15*H8</f>
        <v>1427.0029411764706</v>
      </c>
      <c r="I16" s="524">
        <f>I15*I8</f>
        <v>1585.5588235294117</v>
      </c>
    </row>
    <row r="17" spans="2:14" ht="12.75">
      <c r="B17" s="517" t="s">
        <v>160</v>
      </c>
      <c r="C17" s="525">
        <v>0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K17"/>
      <c r="L17"/>
      <c r="M17"/>
      <c r="N17"/>
    </row>
    <row r="18" spans="2:14" ht="12.75">
      <c r="B18" s="517" t="s">
        <v>161</v>
      </c>
      <c r="C18" s="526">
        <f>C17*C16</f>
        <v>0</v>
      </c>
      <c r="D18" s="526">
        <f>D17*D16</f>
        <v>0</v>
      </c>
      <c r="E18" s="526">
        <f>E17*E16</f>
        <v>0</v>
      </c>
      <c r="F18" s="526">
        <f>F17*F16</f>
        <v>0</v>
      </c>
      <c r="G18" s="526">
        <f>G17*G16</f>
        <v>0</v>
      </c>
      <c r="H18" s="526">
        <f>H17*H16</f>
        <v>0</v>
      </c>
      <c r="I18" s="526">
        <f>I17*I16</f>
        <v>0</v>
      </c>
      <c r="K18"/>
      <c r="L18"/>
      <c r="M18"/>
      <c r="N18"/>
    </row>
    <row r="19" spans="2:14" ht="12.75" hidden="1">
      <c r="B19" s="9"/>
      <c r="C19" s="58">
        <f>C17*C15</f>
        <v>0</v>
      </c>
      <c r="D19" s="58">
        <f>D17*D15</f>
        <v>0</v>
      </c>
      <c r="E19" s="58">
        <f>E17*E15</f>
        <v>0</v>
      </c>
      <c r="F19" s="58">
        <f>F17*F15</f>
        <v>0</v>
      </c>
      <c r="G19" s="58">
        <f>G17*G15</f>
        <v>0</v>
      </c>
      <c r="H19" s="58">
        <f>H17*H15</f>
        <v>0</v>
      </c>
      <c r="I19" s="58">
        <f>I17*I15</f>
        <v>0</v>
      </c>
      <c r="J19" s="527">
        <f>SUM(C19:I19)</f>
        <v>0</v>
      </c>
      <c r="K19"/>
      <c r="L19"/>
      <c r="M19"/>
      <c r="N19"/>
    </row>
    <row r="20" spans="2:14" ht="12.75">
      <c r="B20" s="9"/>
      <c r="C20" s="58"/>
      <c r="D20" s="58"/>
      <c r="E20" s="58"/>
      <c r="F20" s="58"/>
      <c r="G20" s="58"/>
      <c r="H20" s="58"/>
      <c r="I20" s="58"/>
      <c r="K20"/>
      <c r="L20"/>
      <c r="M20"/>
      <c r="N20"/>
    </row>
    <row r="21" spans="2:14" ht="12.75">
      <c r="B21" s="517" t="s">
        <v>162</v>
      </c>
      <c r="C21" s="525">
        <v>0</v>
      </c>
      <c r="D21" s="528" t="s">
        <v>163</v>
      </c>
      <c r="E21" s="525">
        <v>0</v>
      </c>
      <c r="F21" s="529"/>
      <c r="G21" s="528" t="s">
        <v>164</v>
      </c>
      <c r="H21" s="530">
        <v>0.5</v>
      </c>
      <c r="I21" s="529"/>
      <c r="K21"/>
      <c r="L21"/>
      <c r="M21"/>
      <c r="N21"/>
    </row>
    <row r="22" spans="2:14" ht="12.75">
      <c r="B22" s="517" t="s">
        <v>26</v>
      </c>
      <c r="C22" s="525">
        <v>0</v>
      </c>
      <c r="D22" s="528" t="s">
        <v>165</v>
      </c>
      <c r="E22" s="525">
        <v>0</v>
      </c>
      <c r="F22" s="529"/>
      <c r="G22" s="528" t="s">
        <v>166</v>
      </c>
      <c r="H22" s="531">
        <f>H21-(1.5/24)+1</f>
        <v>1.4375</v>
      </c>
      <c r="I22" s="529"/>
      <c r="K22"/>
      <c r="L22"/>
      <c r="M22"/>
      <c r="N22"/>
    </row>
    <row r="23" spans="4:14" ht="12.75">
      <c r="D23" s="58"/>
      <c r="E23" s="58"/>
      <c r="F23" s="529"/>
      <c r="G23" s="517" t="s">
        <v>167</v>
      </c>
      <c r="H23" s="531">
        <f>H22+(16/24)</f>
        <v>2.1041666666666665</v>
      </c>
      <c r="I23" s="529"/>
      <c r="K23"/>
      <c r="L23"/>
      <c r="M23"/>
      <c r="N23"/>
    </row>
    <row r="24" spans="2:14" ht="12.75">
      <c r="B24" s="517" t="s">
        <v>168</v>
      </c>
      <c r="C24" s="525">
        <v>62</v>
      </c>
      <c r="D24" s="529"/>
      <c r="E24" s="529"/>
      <c r="F24" s="529"/>
      <c r="G24" s="532" t="s">
        <v>169</v>
      </c>
      <c r="H24" s="531">
        <f>H23-(0.5/24)</f>
        <v>2.083333333333333</v>
      </c>
      <c r="I24" s="529"/>
      <c r="K24"/>
      <c r="L24"/>
      <c r="M24"/>
      <c r="N24"/>
    </row>
    <row r="25" spans="2:14" ht="12.75">
      <c r="B25" s="517" t="s">
        <v>170</v>
      </c>
      <c r="C25" s="525">
        <v>0</v>
      </c>
      <c r="D25" s="529" t="s">
        <v>15</v>
      </c>
      <c r="E25" s="529"/>
      <c r="F25" s="529"/>
      <c r="G25" s="517" t="s">
        <v>171</v>
      </c>
      <c r="H25" s="531">
        <f>H22+(20/24)</f>
        <v>2.2708333333333335</v>
      </c>
      <c r="I25" s="529" t="s">
        <v>15</v>
      </c>
      <c r="K25"/>
      <c r="L25"/>
      <c r="M25"/>
      <c r="N25"/>
    </row>
    <row r="26" spans="2:14" ht="12.75">
      <c r="B26" s="517" t="s">
        <v>172</v>
      </c>
      <c r="C26" s="525">
        <v>0</v>
      </c>
      <c r="D26" s="20" t="s">
        <v>15</v>
      </c>
      <c r="E26" s="20"/>
      <c r="F26" s="20"/>
      <c r="G26" s="517" t="s">
        <v>169</v>
      </c>
      <c r="H26" s="531">
        <f>H25-(0.5/24)</f>
        <v>2.25</v>
      </c>
      <c r="I26" s="20"/>
      <c r="K26"/>
      <c r="L26"/>
      <c r="M26"/>
      <c r="N26"/>
    </row>
    <row r="27" spans="2:14" ht="12.75">
      <c r="B27" s="517" t="s">
        <v>173</v>
      </c>
      <c r="C27" s="533">
        <f>J19</f>
        <v>0</v>
      </c>
      <c r="D27" s="20"/>
      <c r="E27" s="20"/>
      <c r="F27" s="20"/>
      <c r="G27" s="517" t="s">
        <v>174</v>
      </c>
      <c r="H27" s="530">
        <v>0.6666666666666666</v>
      </c>
      <c r="I27" s="20"/>
      <c r="K27"/>
      <c r="L27"/>
      <c r="M27"/>
      <c r="N27"/>
    </row>
    <row r="28" spans="2:14" ht="12.75">
      <c r="B28" s="517" t="s">
        <v>175</v>
      </c>
      <c r="C28" s="534">
        <f>C24+C26+C27+(C25/3)</f>
        <v>62</v>
      </c>
      <c r="D28" s="20"/>
      <c r="E28" s="20"/>
      <c r="F28" s="20"/>
      <c r="G28" s="517" t="s">
        <v>176</v>
      </c>
      <c r="H28" s="531">
        <f>H24-H27</f>
        <v>1.4166666666666665</v>
      </c>
      <c r="I28" s="20"/>
      <c r="K28"/>
      <c r="L28"/>
      <c r="M28"/>
      <c r="N28"/>
    </row>
    <row r="29" spans="2:14" ht="12.75">
      <c r="B29" s="517" t="s">
        <v>177</v>
      </c>
      <c r="C29" s="517">
        <f>SUM(C17:I17)</f>
        <v>0</v>
      </c>
      <c r="D29" s="20"/>
      <c r="E29" s="20"/>
      <c r="F29" s="20"/>
      <c r="G29" s="517">
        <v>20</v>
      </c>
      <c r="H29" s="531">
        <f>H26-H27</f>
        <v>1.5833333333333335</v>
      </c>
      <c r="I29" s="20"/>
      <c r="K29"/>
      <c r="L29"/>
      <c r="M29"/>
      <c r="N29"/>
    </row>
    <row r="30" spans="2:14" ht="12.75">
      <c r="B30" s="517" t="s">
        <v>178</v>
      </c>
      <c r="C30" s="535">
        <f>SUM(D18:I18)</f>
        <v>0</v>
      </c>
      <c r="D30" s="20"/>
      <c r="E30" s="20"/>
      <c r="F30" s="20"/>
      <c r="G30" s="517">
        <v>18</v>
      </c>
      <c r="H30" s="531">
        <f>H28+(2/24)</f>
        <v>1.4999999999999998</v>
      </c>
      <c r="I30" s="20"/>
      <c r="K30"/>
      <c r="L30"/>
      <c r="M30"/>
      <c r="N30"/>
    </row>
    <row r="31" spans="2:14" ht="12.75" customHeight="1">
      <c r="B31" s="517" t="s">
        <v>179</v>
      </c>
      <c r="C31" s="535">
        <f>C28*B5</f>
        <v>10781.800000000001</v>
      </c>
      <c r="D31" s="20"/>
      <c r="E31" s="20"/>
      <c r="F31" s="20"/>
      <c r="G31" s="517">
        <v>22</v>
      </c>
      <c r="H31" s="531">
        <f>H29+(2/24)</f>
        <v>1.6666666666666667</v>
      </c>
      <c r="I31" s="20"/>
      <c r="K31"/>
      <c r="L31"/>
      <c r="M31"/>
      <c r="N31"/>
    </row>
    <row r="32" spans="2:14" ht="12.75">
      <c r="B32" s="517" t="s">
        <v>28</v>
      </c>
      <c r="C32" s="535">
        <f>(C21*24*C5)+(C22*C5)+(E21*24*D5)+(E22*D5)</f>
        <v>0</v>
      </c>
      <c r="D32" s="20"/>
      <c r="E32" s="20"/>
      <c r="F32" s="20"/>
      <c r="I32" s="20"/>
      <c r="K32"/>
      <c r="L32"/>
      <c r="M32"/>
      <c r="N32"/>
    </row>
    <row r="33" spans="2:14" ht="12.75">
      <c r="B33" s="517" t="s">
        <v>180</v>
      </c>
      <c r="C33" s="535">
        <f>C32+C31+C30</f>
        <v>10781.800000000001</v>
      </c>
      <c r="D33" s="536">
        <f>C33*12</f>
        <v>129381.6</v>
      </c>
      <c r="E33" s="20"/>
      <c r="F33" s="20"/>
      <c r="I33" s="20"/>
      <c r="K33"/>
      <c r="L33"/>
      <c r="M33"/>
      <c r="N33"/>
    </row>
    <row r="34" spans="2:9" ht="12.75">
      <c r="B34" s="20"/>
      <c r="C34" s="20"/>
      <c r="D34" s="20"/>
      <c r="E34" s="20"/>
      <c r="G34" s="20"/>
      <c r="H34" s="20"/>
      <c r="I34" s="20"/>
    </row>
    <row r="35" spans="2:9" ht="12.75" hidden="1">
      <c r="B35" s="517"/>
      <c r="C35" s="517" t="s">
        <v>96</v>
      </c>
      <c r="D35" s="532" t="s">
        <v>181</v>
      </c>
      <c r="E35" s="532" t="s">
        <v>182</v>
      </c>
      <c r="H35" s="532" t="s">
        <v>183</v>
      </c>
      <c r="I35" s="537" t="s">
        <v>15</v>
      </c>
    </row>
    <row r="36" spans="2:9" ht="12.75" hidden="1">
      <c r="B36" s="517" t="s">
        <v>184</v>
      </c>
      <c r="C36" s="538">
        <f>C24</f>
        <v>62</v>
      </c>
      <c r="D36" s="537">
        <f>B5</f>
        <v>173.9</v>
      </c>
      <c r="E36" s="537">
        <f>D36*C36</f>
        <v>10781.800000000001</v>
      </c>
      <c r="H36" s="532" t="s">
        <v>80</v>
      </c>
      <c r="I36" s="532"/>
    </row>
    <row r="37" spans="2:9" ht="12.75" hidden="1">
      <c r="B37" s="517"/>
      <c r="C37" s="532"/>
      <c r="D37" s="532"/>
      <c r="E37" s="537"/>
      <c r="H37" s="532" t="s">
        <v>81</v>
      </c>
      <c r="I37" s="532"/>
    </row>
    <row r="38" spans="2:9" ht="12.75" hidden="1">
      <c r="B38" s="532" t="s">
        <v>185</v>
      </c>
      <c r="C38" s="538">
        <f>C28-C36</f>
        <v>0</v>
      </c>
      <c r="D38" s="537">
        <f>D36</f>
        <v>173.9</v>
      </c>
      <c r="E38" s="537">
        <f>D38*C38</f>
        <v>0</v>
      </c>
      <c r="H38" s="532" t="s">
        <v>186</v>
      </c>
      <c r="I38" s="532"/>
    </row>
    <row r="39" spans="2:9" ht="12.75" hidden="1">
      <c r="B39" s="532" t="s">
        <v>187</v>
      </c>
      <c r="C39" s="532"/>
      <c r="D39" s="537" t="s">
        <v>15</v>
      </c>
      <c r="E39" s="537">
        <f>C32</f>
        <v>0</v>
      </c>
      <c r="H39" s="532" t="s">
        <v>188</v>
      </c>
      <c r="I39" s="532"/>
    </row>
    <row r="40" spans="2:9" ht="12.75" hidden="1">
      <c r="B40" s="532" t="s">
        <v>189</v>
      </c>
      <c r="C40" s="532"/>
      <c r="D40" s="532"/>
      <c r="E40" s="537"/>
      <c r="H40" s="532" t="s">
        <v>190</v>
      </c>
      <c r="I40" s="532"/>
    </row>
    <row r="41" spans="2:10" ht="12.75" hidden="1">
      <c r="B41" s="532" t="s">
        <v>191</v>
      </c>
      <c r="C41" s="532"/>
      <c r="D41" s="532">
        <v>189.84</v>
      </c>
      <c r="E41" s="539" t="s">
        <v>15</v>
      </c>
      <c r="H41" s="532" t="s">
        <v>192</v>
      </c>
      <c r="I41" s="537">
        <f>J41*C33</f>
        <v>1401.6340000000002</v>
      </c>
      <c r="J41" s="540">
        <v>0.13</v>
      </c>
    </row>
    <row r="42" spans="2:9" ht="12.75" hidden="1">
      <c r="B42" s="532" t="s">
        <v>193</v>
      </c>
      <c r="C42" s="532"/>
      <c r="D42" s="532"/>
      <c r="E42" s="539"/>
      <c r="H42" s="532" t="s">
        <v>194</v>
      </c>
      <c r="I42" s="537" t="s">
        <v>15</v>
      </c>
    </row>
    <row r="43" spans="2:9" ht="12.75" hidden="1">
      <c r="B43" s="532" t="s">
        <v>195</v>
      </c>
      <c r="C43" s="532"/>
      <c r="D43" s="532"/>
      <c r="E43" s="537">
        <v>0</v>
      </c>
      <c r="H43" s="532"/>
      <c r="I43" s="532"/>
    </row>
    <row r="44" spans="2:9" ht="12.75" hidden="1">
      <c r="B44" s="532" t="s">
        <v>113</v>
      </c>
      <c r="C44" s="532"/>
      <c r="D44" s="537">
        <f>F44*C33</f>
        <v>539.09</v>
      </c>
      <c r="E44" s="537"/>
      <c r="F44" s="540">
        <v>0.05</v>
      </c>
      <c r="H44" s="532"/>
      <c r="I44" s="532"/>
    </row>
    <row r="45" spans="2:9" ht="12.75" hidden="1">
      <c r="B45" s="532" t="s">
        <v>196</v>
      </c>
      <c r="C45" s="532"/>
      <c r="D45" s="532" t="s">
        <v>197</v>
      </c>
      <c r="E45" s="537">
        <v>0</v>
      </c>
      <c r="G45" s="541"/>
      <c r="H45" s="532"/>
      <c r="I45" s="532"/>
    </row>
    <row r="46" spans="2:9" ht="12.75" hidden="1">
      <c r="B46" s="532"/>
      <c r="C46" s="532"/>
      <c r="D46" s="532"/>
      <c r="E46" s="537"/>
      <c r="H46" s="532"/>
      <c r="I46" s="532"/>
    </row>
    <row r="47" spans="2:9" ht="12.75" hidden="1">
      <c r="B47" s="532"/>
      <c r="C47" s="532"/>
      <c r="D47" s="532"/>
      <c r="E47" s="537"/>
      <c r="H47" s="532"/>
      <c r="I47" s="532"/>
    </row>
    <row r="48" spans="2:9" ht="12.75" hidden="1">
      <c r="B48" s="532"/>
      <c r="C48" s="532"/>
      <c r="D48" s="532"/>
      <c r="E48" s="537"/>
      <c r="H48" s="532" t="s">
        <v>198</v>
      </c>
      <c r="I48" s="532"/>
    </row>
    <row r="49" spans="2:9" ht="12.75" hidden="1">
      <c r="B49" s="532"/>
      <c r="C49" s="532"/>
      <c r="D49" s="532"/>
      <c r="E49" s="537"/>
      <c r="H49" s="532" t="s">
        <v>199</v>
      </c>
      <c r="I49" s="532"/>
    </row>
    <row r="50" spans="2:9" ht="12.75" hidden="1">
      <c r="B50" s="532"/>
      <c r="C50" s="532"/>
      <c r="D50" s="537"/>
      <c r="E50" s="537"/>
      <c r="H50" s="532" t="s">
        <v>200</v>
      </c>
      <c r="I50" s="532"/>
    </row>
    <row r="51" spans="2:9" ht="12.75" hidden="1">
      <c r="B51" s="532" t="s">
        <v>201</v>
      </c>
      <c r="C51" s="532"/>
      <c r="D51" s="537" t="s">
        <v>15</v>
      </c>
      <c r="E51" s="537">
        <f>SUM(E36:E50)</f>
        <v>10781.800000000001</v>
      </c>
      <c r="H51" s="532" t="s">
        <v>202</v>
      </c>
      <c r="I51" s="532"/>
    </row>
    <row r="52" ht="12.75" hidden="1"/>
    <row r="54" ht="24.75">
      <c r="B54" s="1" t="s">
        <v>2</v>
      </c>
    </row>
  </sheetData>
  <sheetProtection selectLockedCells="1" selectUnlockedCells="1"/>
  <mergeCells count="1">
    <mergeCell ref="E12:I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B16" sqref="B16"/>
    </sheetView>
  </sheetViews>
  <sheetFormatPr defaultColWidth="12.57421875" defaultRowHeight="12.75"/>
  <cols>
    <col min="1" max="1" width="16.28125" style="0" customWidth="1"/>
    <col min="2" max="16384" width="11.57421875" style="0" customWidth="1"/>
  </cols>
  <sheetData>
    <row r="1" spans="1:2" ht="12.75">
      <c r="A1" s="542" t="s">
        <v>203</v>
      </c>
      <c r="B1" s="543"/>
    </row>
    <row r="2" spans="1:2" ht="12.75">
      <c r="A2" s="8" t="s">
        <v>36</v>
      </c>
      <c r="B2" s="1"/>
    </row>
    <row r="3" spans="1:2" ht="12.75">
      <c r="A3" s="528" t="s">
        <v>164</v>
      </c>
      <c r="B3" s="544">
        <v>0</v>
      </c>
    </row>
    <row r="4" spans="1:2" ht="12.75">
      <c r="A4" s="545">
        <v>0.0625</v>
      </c>
      <c r="B4" s="531">
        <f>B3-A4+1</f>
        <v>0.9375</v>
      </c>
    </row>
    <row r="5" spans="1:2" ht="12.75">
      <c r="A5" s="546">
        <v>0.020833333333333332</v>
      </c>
      <c r="B5" s="531">
        <f>B4-A5</f>
        <v>0.9166666666666666</v>
      </c>
    </row>
    <row r="6" spans="1:2" ht="12.75">
      <c r="A6" s="547" t="s">
        <v>204</v>
      </c>
      <c r="B6" s="544">
        <v>0.4166666666666667</v>
      </c>
    </row>
    <row r="7" spans="1:2" ht="12.75">
      <c r="A7" s="517" t="s">
        <v>33</v>
      </c>
      <c r="B7" s="548" t="s">
        <v>34</v>
      </c>
    </row>
    <row r="8" spans="1:2" ht="12.75">
      <c r="A8" s="549">
        <v>0.5833333333333334</v>
      </c>
      <c r="B8" s="531">
        <f>B5+A8-B6</f>
        <v>1.0833333333333333</v>
      </c>
    </row>
    <row r="9" spans="1:2" ht="12.75">
      <c r="A9" s="549">
        <v>0.6666666666666666</v>
      </c>
      <c r="B9" s="531">
        <f>B5+A9-B6</f>
        <v>1.1666666666666665</v>
      </c>
    </row>
    <row r="10" spans="1:2" ht="12.75">
      <c r="A10" s="549">
        <v>0.8333333333333334</v>
      </c>
      <c r="B10" s="531">
        <f>B5+A10-B6</f>
        <v>1.3333333333333333</v>
      </c>
    </row>
    <row r="11" spans="1:2" ht="12.75">
      <c r="A11" s="549">
        <v>0.9166666666666666</v>
      </c>
      <c r="B11" s="531">
        <f>B5+A11-B6</f>
        <v>1.4166666666666665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Gatlin Essary</dc:creator>
  <cp:keywords/>
  <dc:description/>
  <cp:lastModifiedBy>Gatlin Essary</cp:lastModifiedBy>
  <dcterms:created xsi:type="dcterms:W3CDTF">2003-02-27T04:44:18Z</dcterms:created>
  <dcterms:modified xsi:type="dcterms:W3CDTF">2012-06-29T07:45:34Z</dcterms:modified>
  <cp:category/>
  <cp:version/>
  <cp:contentType/>
  <cp:contentStatus/>
  <cp:revision>20</cp:revision>
</cp:coreProperties>
</file>